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135" windowWidth="12120" windowHeight="9120" tabRatio="730"/>
  </bookViews>
  <sheets>
    <sheet name="Summary" sheetId="1" r:id="rId1"/>
  </sheets>
  <definedNames>
    <definedName name="_xlnm.Print_Area" localSheetId="0">Summary!$A$10:$AA$204</definedName>
    <definedName name="_xlnm.Print_Titles" localSheetId="0">Summary!$1:$9</definedName>
  </definedNames>
  <calcPr calcId="125725"/>
</workbook>
</file>

<file path=xl/calcChain.xml><?xml version="1.0" encoding="utf-8"?>
<calcChain xmlns="http://schemas.openxmlformats.org/spreadsheetml/2006/main">
  <c r="F192" i="1"/>
  <c r="AA173"/>
  <c r="AA170"/>
  <c r="Y127"/>
  <c r="Y126"/>
  <c r="Y120"/>
  <c r="Y123" s="1"/>
  <c r="Y103"/>
  <c r="Y90"/>
  <c r="AA90" s="1"/>
  <c r="AA94" s="1"/>
  <c r="Y82"/>
  <c r="Y75"/>
  <c r="Y56"/>
  <c r="Y30"/>
  <c r="Y53" s="1"/>
  <c r="Y13"/>
  <c r="AA27"/>
  <c r="AB63"/>
  <c r="AB57"/>
  <c r="AB32"/>
  <c r="AA180"/>
  <c r="AA179"/>
  <c r="AA178"/>
  <c r="AA177"/>
  <c r="AA176"/>
  <c r="AA181" s="1"/>
  <c r="AA165"/>
  <c r="AA164"/>
  <c r="AA163"/>
  <c r="AA160"/>
  <c r="AA147"/>
  <c r="AA146"/>
  <c r="AA145"/>
  <c r="AA144"/>
  <c r="AA143"/>
  <c r="AA142"/>
  <c r="AA141"/>
  <c r="AA140"/>
  <c r="AA139"/>
  <c r="AA138"/>
  <c r="AA137"/>
  <c r="Y132"/>
  <c r="AA132" s="1"/>
  <c r="AA134" s="1"/>
  <c r="AA128"/>
  <c r="AA127"/>
  <c r="AA126"/>
  <c r="AA130" s="1"/>
  <c r="AA121"/>
  <c r="AA117"/>
  <c r="AA116"/>
  <c r="AA105"/>
  <c r="Y99"/>
  <c r="AA99" s="1"/>
  <c r="AA100" s="1"/>
  <c r="Y96"/>
  <c r="AA96" s="1"/>
  <c r="AA97" s="1"/>
  <c r="AA69"/>
  <c r="AA16"/>
  <c r="Y16"/>
  <c r="AA113"/>
  <c r="AA104"/>
  <c r="AA112"/>
  <c r="AA111"/>
  <c r="AA110"/>
  <c r="AA108"/>
  <c r="AA107"/>
  <c r="AA106"/>
  <c r="AA103"/>
  <c r="AA93"/>
  <c r="AA92"/>
  <c r="AA85"/>
  <c r="AA84"/>
  <c r="AA83"/>
  <c r="AA82"/>
  <c r="AA75"/>
  <c r="AA77"/>
  <c r="AA76"/>
  <c r="AA70"/>
  <c r="AA67"/>
  <c r="AA66"/>
  <c r="AA65"/>
  <c r="AA64"/>
  <c r="AA63"/>
  <c r="AA62"/>
  <c r="AA61"/>
  <c r="AA60"/>
  <c r="AA59"/>
  <c r="AA58"/>
  <c r="AA57"/>
  <c r="AA56"/>
  <c r="AA52"/>
  <c r="AA49"/>
  <c r="AA48"/>
  <c r="AA47"/>
  <c r="AA46"/>
  <c r="AA45"/>
  <c r="AA44"/>
  <c r="AA43"/>
  <c r="AA42"/>
  <c r="AA41"/>
  <c r="AA40"/>
  <c r="AA39"/>
  <c r="AA38"/>
  <c r="AA37"/>
  <c r="AA36"/>
  <c r="AA35"/>
  <c r="AA34"/>
  <c r="AA33"/>
  <c r="AA32"/>
  <c r="AA31"/>
  <c r="AA30"/>
  <c r="AA26"/>
  <c r="Y23"/>
  <c r="Y24" s="1"/>
  <c r="Y22"/>
  <c r="AA13"/>
  <c r="Y181"/>
  <c r="Y173"/>
  <c r="Y170"/>
  <c r="Y167"/>
  <c r="Y160"/>
  <c r="Y157"/>
  <c r="Y147"/>
  <c r="Y134"/>
  <c r="Y129"/>
  <c r="Y130"/>
  <c r="Y117"/>
  <c r="Y114"/>
  <c r="Y100"/>
  <c r="Y94"/>
  <c r="Y79"/>
  <c r="Y72"/>
  <c r="Y27"/>
  <c r="H202"/>
  <c r="P87"/>
  <c r="R116"/>
  <c r="R109"/>
  <c r="R96"/>
  <c r="R83"/>
  <c r="R87" s="1"/>
  <c r="R20"/>
  <c r="R14"/>
  <c r="V14" s="1"/>
  <c r="T87"/>
  <c r="V82"/>
  <c r="T57"/>
  <c r="V57" s="1"/>
  <c r="T31"/>
  <c r="T32"/>
  <c r="T127"/>
  <c r="R159"/>
  <c r="R132"/>
  <c r="R105"/>
  <c r="R86"/>
  <c r="T63"/>
  <c r="R21"/>
  <c r="T47"/>
  <c r="T65"/>
  <c r="J38"/>
  <c r="P38" s="1"/>
  <c r="V38"/>
  <c r="H185"/>
  <c r="L186"/>
  <c r="J186"/>
  <c r="J107"/>
  <c r="P107" s="1"/>
  <c r="J106"/>
  <c r="J63"/>
  <c r="J184"/>
  <c r="N147"/>
  <c r="T146"/>
  <c r="R146"/>
  <c r="V146" s="1"/>
  <c r="P146"/>
  <c r="N57"/>
  <c r="N32"/>
  <c r="T34"/>
  <c r="V36"/>
  <c r="P36"/>
  <c r="V47"/>
  <c r="P47"/>
  <c r="T44"/>
  <c r="V44" s="1"/>
  <c r="P44"/>
  <c r="V65"/>
  <c r="V45"/>
  <c r="T40"/>
  <c r="V40" s="1"/>
  <c r="V34"/>
  <c r="T64"/>
  <c r="V61"/>
  <c r="P61"/>
  <c r="V60"/>
  <c r="P60"/>
  <c r="V59"/>
  <c r="P59"/>
  <c r="V35"/>
  <c r="P35"/>
  <c r="P34"/>
  <c r="N63"/>
  <c r="L63"/>
  <c r="O63"/>
  <c r="M63"/>
  <c r="K63"/>
  <c r="L57"/>
  <c r="J57"/>
  <c r="O57"/>
  <c r="M57"/>
  <c r="K57"/>
  <c r="L32"/>
  <c r="L53" s="1"/>
  <c r="J32"/>
  <c r="J53" s="1"/>
  <c r="M32"/>
  <c r="K32"/>
  <c r="V67"/>
  <c r="V66"/>
  <c r="V64"/>
  <c r="V62"/>
  <c r="V58"/>
  <c r="P67"/>
  <c r="P66"/>
  <c r="P65"/>
  <c r="P64"/>
  <c r="P63" s="1"/>
  <c r="P62"/>
  <c r="P58"/>
  <c r="P57" s="1"/>
  <c r="H63"/>
  <c r="H57"/>
  <c r="V39"/>
  <c r="P39"/>
  <c r="V49"/>
  <c r="V48"/>
  <c r="V46"/>
  <c r="V43"/>
  <c r="V42"/>
  <c r="V41"/>
  <c r="V37"/>
  <c r="V33"/>
  <c r="P49"/>
  <c r="P48"/>
  <c r="P46"/>
  <c r="P45"/>
  <c r="P43"/>
  <c r="P42"/>
  <c r="P41"/>
  <c r="P40"/>
  <c r="P37"/>
  <c r="P33"/>
  <c r="H32"/>
  <c r="H198"/>
  <c r="P179"/>
  <c r="P178"/>
  <c r="P177"/>
  <c r="P176"/>
  <c r="P165"/>
  <c r="P164"/>
  <c r="P163"/>
  <c r="P155"/>
  <c r="P154"/>
  <c r="P153"/>
  <c r="P152"/>
  <c r="P151"/>
  <c r="P150"/>
  <c r="P144"/>
  <c r="P143"/>
  <c r="P142"/>
  <c r="P141"/>
  <c r="P140"/>
  <c r="P139"/>
  <c r="P138"/>
  <c r="P137"/>
  <c r="P132"/>
  <c r="P128"/>
  <c r="P121"/>
  <c r="P112"/>
  <c r="P111"/>
  <c r="P110"/>
  <c r="P109"/>
  <c r="P108"/>
  <c r="P105"/>
  <c r="P92"/>
  <c r="P85"/>
  <c r="P84"/>
  <c r="P83"/>
  <c r="P77"/>
  <c r="P70"/>
  <c r="P69"/>
  <c r="P50"/>
  <c r="P180"/>
  <c r="P172"/>
  <c r="P169"/>
  <c r="P166"/>
  <c r="P159"/>
  <c r="P156"/>
  <c r="P145"/>
  <c r="P133"/>
  <c r="P129"/>
  <c r="P122"/>
  <c r="P113"/>
  <c r="P99"/>
  <c r="P96"/>
  <c r="P93"/>
  <c r="P86"/>
  <c r="P78"/>
  <c r="P71"/>
  <c r="P52"/>
  <c r="P26"/>
  <c r="P23"/>
  <c r="P22"/>
  <c r="P21"/>
  <c r="P20"/>
  <c r="P19"/>
  <c r="P18"/>
  <c r="P17"/>
  <c r="P15"/>
  <c r="P14"/>
  <c r="P184"/>
  <c r="P116"/>
  <c r="P91"/>
  <c r="P68"/>
  <c r="P51"/>
  <c r="N24"/>
  <c r="N94"/>
  <c r="N114"/>
  <c r="N181"/>
  <c r="N173"/>
  <c r="N170"/>
  <c r="N167"/>
  <c r="N160"/>
  <c r="N157"/>
  <c r="N134"/>
  <c r="N130"/>
  <c r="N123"/>
  <c r="N117"/>
  <c r="N100"/>
  <c r="N97"/>
  <c r="N87"/>
  <c r="N79"/>
  <c r="N27"/>
  <c r="V159"/>
  <c r="V116"/>
  <c r="V117" s="1"/>
  <c r="V180"/>
  <c r="V179"/>
  <c r="V176"/>
  <c r="V166"/>
  <c r="V165"/>
  <c r="V164"/>
  <c r="V163"/>
  <c r="V155"/>
  <c r="V153"/>
  <c r="V152"/>
  <c r="V151"/>
  <c r="V150"/>
  <c r="V143"/>
  <c r="V142"/>
  <c r="V141"/>
  <c r="V139"/>
  <c r="V138"/>
  <c r="V137"/>
  <c r="V133"/>
  <c r="V132"/>
  <c r="V129"/>
  <c r="V128"/>
  <c r="V127"/>
  <c r="V126"/>
  <c r="V122"/>
  <c r="V121"/>
  <c r="V120"/>
  <c r="V111"/>
  <c r="V108"/>
  <c r="V107"/>
  <c r="V106"/>
  <c r="V105"/>
  <c r="V104"/>
  <c r="V103"/>
  <c r="V99"/>
  <c r="V96"/>
  <c r="V97" s="1"/>
  <c r="V91"/>
  <c r="V90"/>
  <c r="V85"/>
  <c r="V84"/>
  <c r="V83"/>
  <c r="V78"/>
  <c r="V77"/>
  <c r="V75"/>
  <c r="V71"/>
  <c r="V70"/>
  <c r="V69"/>
  <c r="V68"/>
  <c r="V56"/>
  <c r="V52"/>
  <c r="V51"/>
  <c r="V50"/>
  <c r="V31"/>
  <c r="V30"/>
  <c r="V26"/>
  <c r="V27" s="1"/>
  <c r="V22"/>
  <c r="V21"/>
  <c r="V20"/>
  <c r="V19"/>
  <c r="V18"/>
  <c r="V16"/>
  <c r="V15"/>
  <c r="V13"/>
  <c r="R178"/>
  <c r="R177"/>
  <c r="R172"/>
  <c r="R169"/>
  <c r="R167"/>
  <c r="R160"/>
  <c r="R156"/>
  <c r="R154"/>
  <c r="R145"/>
  <c r="R144"/>
  <c r="R140"/>
  <c r="R134"/>
  <c r="R130"/>
  <c r="R123"/>
  <c r="R117"/>
  <c r="R113"/>
  <c r="R112"/>
  <c r="R110"/>
  <c r="R100"/>
  <c r="R97"/>
  <c r="R93"/>
  <c r="R92"/>
  <c r="R76"/>
  <c r="R79" s="1"/>
  <c r="R72"/>
  <c r="R53"/>
  <c r="R27"/>
  <c r="R23"/>
  <c r="T178"/>
  <c r="T177"/>
  <c r="T172"/>
  <c r="T169"/>
  <c r="T167"/>
  <c r="T160"/>
  <c r="T156"/>
  <c r="T154"/>
  <c r="T145"/>
  <c r="T144"/>
  <c r="T140"/>
  <c r="T134"/>
  <c r="T130"/>
  <c r="T123"/>
  <c r="T117"/>
  <c r="T112"/>
  <c r="T109"/>
  <c r="T100"/>
  <c r="T97"/>
  <c r="T93"/>
  <c r="T92"/>
  <c r="T86"/>
  <c r="V86" s="1"/>
  <c r="T76"/>
  <c r="T79" s="1"/>
  <c r="T27"/>
  <c r="T24"/>
  <c r="T23"/>
  <c r="T17"/>
  <c r="H200"/>
  <c r="V134"/>
  <c r="V100"/>
  <c r="P76"/>
  <c r="L181"/>
  <c r="L173"/>
  <c r="L170"/>
  <c r="L167"/>
  <c r="L160"/>
  <c r="L157"/>
  <c r="L147"/>
  <c r="L134"/>
  <c r="L130"/>
  <c r="L123"/>
  <c r="L117"/>
  <c r="L114"/>
  <c r="L100"/>
  <c r="L97"/>
  <c r="L94"/>
  <c r="L87"/>
  <c r="L79"/>
  <c r="L72"/>
  <c r="L27"/>
  <c r="L24"/>
  <c r="J181"/>
  <c r="J173"/>
  <c r="J170"/>
  <c r="J167"/>
  <c r="J160"/>
  <c r="J157"/>
  <c r="J147"/>
  <c r="J134"/>
  <c r="J130"/>
  <c r="J123"/>
  <c r="J117"/>
  <c r="J114"/>
  <c r="J100"/>
  <c r="J97"/>
  <c r="J94"/>
  <c r="J87"/>
  <c r="J79"/>
  <c r="J72"/>
  <c r="J27"/>
  <c r="J24"/>
  <c r="AA24" l="1"/>
  <c r="AA120"/>
  <c r="AA123" s="1"/>
  <c r="Y97"/>
  <c r="AA114"/>
  <c r="AA157"/>
  <c r="AA167"/>
  <c r="AA87"/>
  <c r="AA79"/>
  <c r="AA72"/>
  <c r="AA53"/>
  <c r="Y87"/>
  <c r="Y183" s="1"/>
  <c r="H194" s="1"/>
  <c r="V87"/>
  <c r="P32"/>
  <c r="T181"/>
  <c r="R157"/>
  <c r="T157"/>
  <c r="V169"/>
  <c r="T53"/>
  <c r="T72"/>
  <c r="N72"/>
  <c r="T147"/>
  <c r="V17"/>
  <c r="V112"/>
  <c r="V145"/>
  <c r="V92"/>
  <c r="V110"/>
  <c r="R147"/>
  <c r="V140"/>
  <c r="V172"/>
  <c r="AA172" s="1"/>
  <c r="V23"/>
  <c r="V113"/>
  <c r="V93"/>
  <c r="V178"/>
  <c r="V160"/>
  <c r="V154"/>
  <c r="V177"/>
  <c r="N53"/>
  <c r="P16"/>
  <c r="P106"/>
  <c r="T114"/>
  <c r="R94"/>
  <c r="T94"/>
  <c r="R114"/>
  <c r="R181"/>
  <c r="V76"/>
  <c r="V79" s="1"/>
  <c r="V144"/>
  <c r="V156"/>
  <c r="V130"/>
  <c r="V109"/>
  <c r="AA169"/>
  <c r="V167"/>
  <c r="V123"/>
  <c r="R24"/>
  <c r="V147"/>
  <c r="J183"/>
  <c r="V181"/>
  <c r="V94"/>
  <c r="L183"/>
  <c r="H181"/>
  <c r="P181" s="1"/>
  <c r="H173"/>
  <c r="H170"/>
  <c r="H167"/>
  <c r="P167" s="1"/>
  <c r="H160"/>
  <c r="P160" s="1"/>
  <c r="H157"/>
  <c r="P157" s="1"/>
  <c r="H147"/>
  <c r="P147" s="1"/>
  <c r="H134"/>
  <c r="P134" s="1"/>
  <c r="H130"/>
  <c r="P130" s="1"/>
  <c r="H123"/>
  <c r="P123" s="1"/>
  <c r="H117"/>
  <c r="P117" s="1"/>
  <c r="H114"/>
  <c r="P114" s="1"/>
  <c r="H100"/>
  <c r="P100" s="1"/>
  <c r="H97"/>
  <c r="P97" s="1"/>
  <c r="H94"/>
  <c r="H87"/>
  <c r="H79"/>
  <c r="P79" s="1"/>
  <c r="H72"/>
  <c r="H53"/>
  <c r="H27"/>
  <c r="P27" s="1"/>
  <c r="W119" l="1"/>
  <c r="V32"/>
  <c r="V53" s="1"/>
  <c r="V63"/>
  <c r="P72"/>
  <c r="N183"/>
  <c r="P53"/>
  <c r="V114"/>
  <c r="V24"/>
  <c r="P173"/>
  <c r="V173" s="1"/>
  <c r="R173"/>
  <c r="T173"/>
  <c r="P94"/>
  <c r="T170"/>
  <c r="T183" s="1"/>
  <c r="R170"/>
  <c r="P170"/>
  <c r="V170" s="1"/>
  <c r="E119"/>
  <c r="V157"/>
  <c r="R183"/>
  <c r="H201" s="1"/>
  <c r="H24"/>
  <c r="W120" l="1"/>
  <c r="V72"/>
  <c r="H189"/>
  <c r="H190" s="1"/>
  <c r="W12"/>
  <c r="H183"/>
  <c r="H186" s="1"/>
  <c r="P186" s="1"/>
  <c r="P24"/>
  <c r="V183" l="1"/>
  <c r="X119" s="1"/>
  <c r="P183"/>
  <c r="E12"/>
  <c r="W13" s="1"/>
  <c r="X12" l="1"/>
  <c r="W29"/>
  <c r="X29" s="1"/>
  <c r="E29"/>
  <c r="F29" s="1"/>
  <c r="F12"/>
  <c r="F119"/>
  <c r="W30" l="1"/>
  <c r="E192" s="1"/>
  <c r="J195"/>
  <c r="J204" s="1"/>
  <c r="AA183"/>
</calcChain>
</file>

<file path=xl/sharedStrings.xml><?xml version="1.0" encoding="utf-8"?>
<sst xmlns="http://schemas.openxmlformats.org/spreadsheetml/2006/main" count="407" uniqueCount="188">
  <si>
    <t xml:space="preserve"> </t>
  </si>
  <si>
    <t xml:space="preserve">  </t>
  </si>
  <si>
    <t>Project Name:</t>
  </si>
  <si>
    <t>Customer:</t>
  </si>
  <si>
    <t>Location:</t>
  </si>
  <si>
    <t>Inspectors</t>
  </si>
  <si>
    <t>Major Mechanical Equipment</t>
  </si>
  <si>
    <t>Major Electrical Equipment</t>
  </si>
  <si>
    <t>Substation Equipment</t>
  </si>
  <si>
    <t>Water Treatment</t>
  </si>
  <si>
    <t>Concrete</t>
  </si>
  <si>
    <t>SCR</t>
  </si>
  <si>
    <t>Concrete Pilings</t>
  </si>
  <si>
    <t>Site Preparation</t>
  </si>
  <si>
    <t>Excavation - Fill</t>
  </si>
  <si>
    <t>Concrete Foundations</t>
  </si>
  <si>
    <t>Paving Asphalt - Concrete</t>
  </si>
  <si>
    <t>Gravel - Sand</t>
  </si>
  <si>
    <t>Structual Steel</t>
  </si>
  <si>
    <t>Fencing</t>
  </si>
  <si>
    <t>Architectual Treatment</t>
  </si>
  <si>
    <t>Evaporation Pond</t>
  </si>
  <si>
    <t>Mechanical Subcontractor</t>
  </si>
  <si>
    <t>Plant Electrical Subcontractor</t>
  </si>
  <si>
    <t>Substation Subcontractor</t>
  </si>
  <si>
    <t>CEMS</t>
  </si>
  <si>
    <t>Plant Instrumentation</t>
  </si>
  <si>
    <t>Instrumentation Subcontractor</t>
  </si>
  <si>
    <t>Plant Erection</t>
  </si>
  <si>
    <t>EPC Eng Labor</t>
  </si>
  <si>
    <t>Local Eng</t>
  </si>
  <si>
    <t xml:space="preserve">GTG Tech Rep </t>
  </si>
  <si>
    <t>Fire Water</t>
  </si>
  <si>
    <t>Gas Compressor</t>
  </si>
  <si>
    <t>Controls Rep</t>
  </si>
  <si>
    <t>X Ray</t>
  </si>
  <si>
    <t>Plant Performance and Reliability</t>
  </si>
  <si>
    <t>Protective Relays</t>
  </si>
  <si>
    <t>Buildiers All Risk</t>
  </si>
  <si>
    <t>Ocean/Air Freight</t>
  </si>
  <si>
    <t>Unload &amp; Receive Mat'l at Site</t>
  </si>
  <si>
    <t>Receive, Inspect, Inventory</t>
  </si>
  <si>
    <t>Storage</t>
  </si>
  <si>
    <t>Local Registrations Fees, License, Etc.</t>
  </si>
  <si>
    <t>Transport of Damaged Goods for Repair</t>
  </si>
  <si>
    <t>Project Contingency</t>
  </si>
  <si>
    <t>Pipe, Valves &amp; Fitting labor</t>
  </si>
  <si>
    <t>Pipe, Valves &amp; Fitting Material</t>
  </si>
  <si>
    <t>Conduit, Cable &amp; Wire Material</t>
  </si>
  <si>
    <t>Conduit, Cable &amp; Wire Labor</t>
  </si>
  <si>
    <t>100  Civil Structural</t>
  </si>
  <si>
    <t>200  Buildings</t>
  </si>
  <si>
    <t>300  Mechanical</t>
  </si>
  <si>
    <t>400  Electrical</t>
  </si>
  <si>
    <t>500  Instrumentation</t>
  </si>
  <si>
    <t>700  Plant Erection</t>
  </si>
  <si>
    <t>Plant Dismantling</t>
  </si>
  <si>
    <t>Plant Dismantling Labor</t>
  </si>
  <si>
    <t>800  Equipment Rental</t>
  </si>
  <si>
    <t>900  Painting</t>
  </si>
  <si>
    <t>1100  Site Costs</t>
  </si>
  <si>
    <t>Hardware / Software</t>
  </si>
  <si>
    <t>Telephone System</t>
  </si>
  <si>
    <t>Public Address System</t>
  </si>
  <si>
    <t>TV / Security</t>
  </si>
  <si>
    <t>US Inland Transportation</t>
  </si>
  <si>
    <t>Destination Inland Freight</t>
  </si>
  <si>
    <t>Customs / Duties (plant equip &amp; mat'l)</t>
  </si>
  <si>
    <t>1200  Engineering</t>
  </si>
  <si>
    <t>1300  Project Management</t>
  </si>
  <si>
    <t>1000  Transportation</t>
  </si>
  <si>
    <t xml:space="preserve">Project &amp; Construction </t>
  </si>
  <si>
    <t>1500  Technical Reps</t>
  </si>
  <si>
    <t>1400  Travel &amp; Perdiem</t>
  </si>
  <si>
    <t>Project Meal Expense</t>
  </si>
  <si>
    <t>Chiller</t>
  </si>
  <si>
    <t>Commission / S/U / Trng</t>
  </si>
  <si>
    <t>Evap Cooler</t>
  </si>
  <si>
    <t>1700 Legal</t>
  </si>
  <si>
    <t>1800 Insurance / Securities</t>
  </si>
  <si>
    <t>Soil Boring / Compaction</t>
  </si>
  <si>
    <t>Emission Tests</t>
  </si>
  <si>
    <t>Acoustics / Noise Test</t>
  </si>
  <si>
    <t>Bonds</t>
  </si>
  <si>
    <t xml:space="preserve">Marine / Cargo </t>
  </si>
  <si>
    <t>Professional</t>
  </si>
  <si>
    <t>1900  Taxes</t>
  </si>
  <si>
    <t>1600  Project Tests</t>
  </si>
  <si>
    <t>GT Performance</t>
  </si>
  <si>
    <t>Schedule LD</t>
  </si>
  <si>
    <t>2000  Commissions</t>
  </si>
  <si>
    <t>2100  Project Contingency / Risk</t>
  </si>
  <si>
    <t>600  DCS System / Communications</t>
  </si>
  <si>
    <t>ProEnergy EPC</t>
  </si>
  <si>
    <t>Derwick</t>
  </si>
  <si>
    <t>Guatire, Venn</t>
  </si>
  <si>
    <t>Guarenas</t>
  </si>
  <si>
    <t>Status Date:</t>
  </si>
  <si>
    <t>Project No:</t>
  </si>
  <si>
    <t>10-T 1009</t>
  </si>
  <si>
    <t>COST ITEM DESCRIPTION</t>
  </si>
  <si>
    <t>ORIGINAL BUDGET</t>
  </si>
  <si>
    <t>CO #1</t>
  </si>
  <si>
    <t>Proj. Descript:</t>
  </si>
  <si>
    <t>CO #2</t>
  </si>
  <si>
    <t>CURRENT BUDGET</t>
  </si>
  <si>
    <t>COST TO DATE</t>
  </si>
  <si>
    <t>incl below</t>
  </si>
  <si>
    <t>ProEnergy Labor</t>
  </si>
  <si>
    <t>Engineering Labor</t>
  </si>
  <si>
    <t>Fire Water System</t>
  </si>
  <si>
    <t>Subcontractor</t>
  </si>
  <si>
    <t>Export Crating</t>
  </si>
  <si>
    <t>Estimated Revenue as of 01 May 2010</t>
  </si>
  <si>
    <t>Estimated Cost of Money APR</t>
  </si>
  <si>
    <t>Estimated Cost of Money APR weekly rate</t>
  </si>
  <si>
    <t>Estimated Value of Cash Position Since 01 May</t>
  </si>
  <si>
    <t>2nd 6000+LFO</t>
  </si>
  <si>
    <t>+WT+HV</t>
  </si>
  <si>
    <t>Gas</t>
  </si>
  <si>
    <t>Compressors</t>
  </si>
  <si>
    <t>All Construction</t>
  </si>
  <si>
    <t>Engineering &amp; PM</t>
  </si>
  <si>
    <t>All Procure/Trans/Reps</t>
  </si>
  <si>
    <t>USD ONLY TOTAL</t>
  </si>
  <si>
    <t>VZ BsF ONLY TOTAL</t>
  </si>
  <si>
    <t>EQUIV. USD TOTAL</t>
  </si>
  <si>
    <t>BsF/1.0 Equiv. USD =</t>
  </si>
  <si>
    <t>&lt;====use</t>
  </si>
  <si>
    <t>Project Fin % Compl.</t>
  </si>
  <si>
    <t>CURRENT BUDGET -</t>
  </si>
  <si>
    <t>+</t>
  </si>
  <si>
    <t>BsF</t>
  </si>
  <si>
    <t>=</t>
  </si>
  <si>
    <t>Equiv. USD</t>
  </si>
  <si>
    <t>Note: 15,661,077 BsF invoiced but not paid as of 12 July 2010</t>
  </si>
  <si>
    <t>2 x LM6000 + 2 x LM2500+ + LFO treat &amp; storage + Water treat &amp; storage + Gas Compressors + Black Start</t>
  </si>
  <si>
    <t>CO #3</t>
  </si>
  <si>
    <t>Black Start</t>
  </si>
  <si>
    <t>Capability</t>
  </si>
  <si>
    <t>Budget - BsF</t>
  </si>
  <si>
    <t>Budget - USD only</t>
  </si>
  <si>
    <t>Total Budget - Equivalent USD</t>
  </si>
  <si>
    <t>BsF Budget - Equiv. USD@6.0 ER</t>
  </si>
  <si>
    <t>Construction % Complete =</t>
  </si>
  <si>
    <t>Forecasted BsF Cost at Completion =</t>
  </si>
  <si>
    <t>Forecasted USD Only Cost at Completion =</t>
  </si>
  <si>
    <t>Forecasted BsF Cost Below / (Above) Budget =</t>
  </si>
  <si>
    <t>Forecasted USD Only Cost Below / (Above) Budget =</t>
  </si>
  <si>
    <t>Estimated USD Only Budget Surplus + Cash Position Value =</t>
  </si>
  <si>
    <t>Exhaust Stacks</t>
  </si>
  <si>
    <t>LF Metering Skid</t>
  </si>
  <si>
    <t>LF Centrifuge Skid</t>
  </si>
  <si>
    <t>Raw LF Storage Tank</t>
  </si>
  <si>
    <t>Treated LF Storage Tank</t>
  </si>
  <si>
    <t>Raw/Fire Water Storage Tank</t>
  </si>
  <si>
    <t>Demin Treatment System</t>
  </si>
  <si>
    <t>Fire Water Pump Skid</t>
  </si>
  <si>
    <t>Demin Water SS Tank</t>
  </si>
  <si>
    <t>Instrument Air Compressor Pkg</t>
  </si>
  <si>
    <t>Generator Breaker(s)</t>
  </si>
  <si>
    <t>Aux Transformers, 15kV/600V</t>
  </si>
  <si>
    <t>LF Filter Skids</t>
  </si>
  <si>
    <t>Generator Stepup Transformers</t>
  </si>
  <si>
    <t>SF6 Circuit Breakers</t>
  </si>
  <si>
    <t>Disconnect Switches</t>
  </si>
  <si>
    <t>Dead End Towers</t>
  </si>
  <si>
    <t>Fuel Gas Compressors w/ Fin Fans</t>
  </si>
  <si>
    <t>Fuel Gas Check Metering/Regulator Skid</t>
  </si>
  <si>
    <t>Distribution Breaker(s)</t>
  </si>
  <si>
    <t>5kV MCCs</t>
  </si>
  <si>
    <t>Aux Transformers, 15kV/5kV</t>
  </si>
  <si>
    <t>Water Injection Skids</t>
  </si>
  <si>
    <t>Water Injection Filters Skids</t>
  </si>
  <si>
    <t>LF Unloading Pumps Skid</t>
  </si>
  <si>
    <t>Black Start Generator</t>
  </si>
  <si>
    <t>Material Escalation</t>
  </si>
  <si>
    <t>Labor Contingency</t>
  </si>
  <si>
    <t>na</t>
  </si>
  <si>
    <t>LF Forwarding Pumps Skids</t>
  </si>
  <si>
    <t>Minimum Cash Position Since 03 Aug 2010</t>
  </si>
  <si>
    <t>USE ======&gt;</t>
  </si>
  <si>
    <t>AT COMPLETION</t>
  </si>
  <si>
    <t>FORECASTED</t>
  </si>
  <si>
    <t>USD ONLY COST</t>
  </si>
  <si>
    <t>FORECAST USD ONLY</t>
  </si>
  <si>
    <t>VARIANCE = USD ONLY</t>
  </si>
  <si>
    <t>E=55%;P=45%;C=34%</t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</si>
</sst>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  <numFmt numFmtId="167" formatCode="#,##0.0_);\(#,##0.0\)"/>
    <numFmt numFmtId="168" formatCode="0_);\(0\)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u/>
      <sz val="10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2" xfId="0" applyFont="1" applyBorder="1"/>
    <xf numFmtId="0" fontId="4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5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15" fontId="2" fillId="0" borderId="0" xfId="0" applyNumberFormat="1" applyFont="1" applyBorder="1" applyAlignment="1">
      <alignment horizontal="center"/>
    </xf>
    <xf numFmtId="41" fontId="2" fillId="0" borderId="0" xfId="0" applyNumberFormat="1" applyFont="1" applyBorder="1"/>
    <xf numFmtId="41" fontId="4" fillId="0" borderId="0" xfId="0" applyNumberFormat="1" applyFont="1"/>
    <xf numFmtId="0" fontId="4" fillId="0" borderId="1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41" fontId="4" fillId="0" borderId="0" xfId="0" applyNumberFormat="1" applyFont="1" applyBorder="1" applyAlignment="1"/>
    <xf numFmtId="41" fontId="4" fillId="0" borderId="0" xfId="0" applyNumberFormat="1" applyFont="1" applyBorder="1"/>
    <xf numFmtId="0" fontId="4" fillId="0" borderId="0" xfId="0" applyFont="1" applyFill="1" applyBorder="1"/>
    <xf numFmtId="10" fontId="4" fillId="0" borderId="0" xfId="1" applyNumberFormat="1" applyFont="1"/>
    <xf numFmtId="41" fontId="2" fillId="0" borderId="0" xfId="0" applyNumberFormat="1" applyFont="1" applyBorder="1" applyAlignment="1">
      <alignment horizontal="center"/>
    </xf>
    <xf numFmtId="44" fontId="4" fillId="0" borderId="0" xfId="0" applyNumberFormat="1" applyFont="1"/>
    <xf numFmtId="9" fontId="4" fillId="0" borderId="0" xfId="1" applyNumberFormat="1" applyFont="1" applyBorder="1"/>
    <xf numFmtId="164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41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9" fontId="0" fillId="0" borderId="0" xfId="2" applyFont="1"/>
    <xf numFmtId="41" fontId="4" fillId="0" borderId="0" xfId="1" applyNumberFormat="1" applyFont="1" applyBorder="1"/>
    <xf numFmtId="41" fontId="4" fillId="0" borderId="0" xfId="1" applyNumberFormat="1" applyFont="1"/>
    <xf numFmtId="41" fontId="4" fillId="0" borderId="0" xfId="1" applyNumberFormat="1" applyFont="1" applyFill="1"/>
    <xf numFmtId="41" fontId="4" fillId="0" borderId="1" xfId="1" applyNumberFormat="1" applyFont="1" applyFill="1" applyBorder="1"/>
    <xf numFmtId="41" fontId="4" fillId="0" borderId="1" xfId="1" applyNumberFormat="1" applyFont="1" applyBorder="1"/>
    <xf numFmtId="41" fontId="4" fillId="0" borderId="0" xfId="1" applyNumberFormat="1" applyFont="1" applyFill="1" applyBorder="1"/>
    <xf numFmtId="41" fontId="4" fillId="0" borderId="1" xfId="0" applyNumberFormat="1" applyFont="1" applyBorder="1"/>
    <xf numFmtId="41" fontId="4" fillId="0" borderId="0" xfId="0" applyNumberFormat="1" applyFont="1" applyFill="1" applyBorder="1"/>
    <xf numFmtId="0" fontId="4" fillId="0" borderId="0" xfId="0" applyFont="1" applyAlignment="1">
      <alignment horizontal="center"/>
    </xf>
    <xf numFmtId="41" fontId="4" fillId="0" borderId="2" xfId="0" applyNumberFormat="1" applyFont="1" applyBorder="1"/>
    <xf numFmtId="1" fontId="4" fillId="0" borderId="0" xfId="0" applyNumberFormat="1" applyFont="1"/>
    <xf numFmtId="1" fontId="4" fillId="0" borderId="1" xfId="0" applyNumberFormat="1" applyFont="1" applyBorder="1"/>
    <xf numFmtId="1" fontId="4" fillId="0" borderId="2" xfId="0" applyNumberFormat="1" applyFont="1" applyBorder="1"/>
    <xf numFmtId="1" fontId="4" fillId="0" borderId="0" xfId="0" applyNumberFormat="1" applyFont="1" applyBorder="1"/>
    <xf numFmtId="1" fontId="4" fillId="0" borderId="0" xfId="0" applyNumberFormat="1" applyFont="1" applyFill="1" applyBorder="1"/>
    <xf numFmtId="1" fontId="4" fillId="0" borderId="0" xfId="0" applyNumberFormat="1" applyFont="1" applyFill="1"/>
    <xf numFmtId="0" fontId="4" fillId="0" borderId="0" xfId="0" applyFont="1" applyFill="1"/>
    <xf numFmtId="1" fontId="6" fillId="0" borderId="1" xfId="0" applyNumberFormat="1" applyFont="1" applyBorder="1"/>
    <xf numFmtId="9" fontId="4" fillId="0" borderId="0" xfId="0" applyNumberFormat="1" applyFont="1"/>
    <xf numFmtId="0" fontId="2" fillId="0" borderId="3" xfId="0" applyFont="1" applyBorder="1"/>
    <xf numFmtId="41" fontId="4" fillId="0" borderId="3" xfId="0" applyNumberFormat="1" applyFont="1" applyBorder="1"/>
    <xf numFmtId="1" fontId="4" fillId="0" borderId="3" xfId="0" applyNumberFormat="1" applyFont="1" applyBorder="1"/>
    <xf numFmtId="41" fontId="2" fillId="0" borderId="3" xfId="0" applyNumberFormat="1" applyFont="1" applyBorder="1" applyAlignment="1">
      <alignment horizontal="center"/>
    </xf>
    <xf numFmtId="5" fontId="4" fillId="0" borderId="0" xfId="1" applyNumberFormat="1" applyFont="1" applyBorder="1"/>
    <xf numFmtId="37" fontId="4" fillId="0" borderId="1" xfId="1" applyNumberFormat="1" applyFont="1" applyBorder="1"/>
    <xf numFmtId="42" fontId="4" fillId="0" borderId="0" xfId="0" applyNumberFormat="1" applyFont="1"/>
    <xf numFmtId="41" fontId="7" fillId="0" borderId="0" xfId="0" applyNumberFormat="1" applyFont="1" applyAlignment="1">
      <alignment horizontal="left"/>
    </xf>
    <xf numFmtId="42" fontId="4" fillId="0" borderId="0" xfId="1" applyNumberFormat="1" applyFont="1" applyBorder="1"/>
    <xf numFmtId="5" fontId="4" fillId="0" borderId="0" xfId="1" applyNumberFormat="1" applyFont="1"/>
    <xf numFmtId="5" fontId="4" fillId="0" borderId="0" xfId="1" applyNumberFormat="1" applyFont="1" applyFill="1"/>
    <xf numFmtId="5" fontId="2" fillId="0" borderId="0" xfId="1" applyNumberFormat="1" applyFont="1"/>
    <xf numFmtId="5" fontId="2" fillId="0" borderId="0" xfId="3" applyNumberFormat="1" applyFont="1" applyAlignment="1" applyProtection="1"/>
    <xf numFmtId="41" fontId="7" fillId="0" borderId="0" xfId="0" applyNumberFormat="1" applyFont="1" applyAlignment="1">
      <alignment horizontal="center"/>
    </xf>
    <xf numFmtId="41" fontId="7" fillId="0" borderId="0" xfId="0" applyNumberFormat="1" applyFont="1" applyBorder="1" applyAlignment="1">
      <alignment horizontal="left"/>
    </xf>
    <xf numFmtId="37" fontId="4" fillId="0" borderId="0" xfId="1" applyNumberFormat="1" applyFont="1" applyBorder="1"/>
    <xf numFmtId="42" fontId="4" fillId="0" borderId="0" xfId="0" applyNumberFormat="1" applyFont="1" applyBorder="1"/>
    <xf numFmtId="5" fontId="4" fillId="0" borderId="0" xfId="1" applyNumberFormat="1" applyFont="1" applyFill="1" applyBorder="1"/>
    <xf numFmtId="5" fontId="2" fillId="0" borderId="0" xfId="1" applyNumberFormat="1" applyFont="1" applyBorder="1"/>
    <xf numFmtId="5" fontId="2" fillId="0" borderId="0" xfId="3" applyNumberFormat="1" applyFont="1" applyBorder="1" applyAlignment="1" applyProtection="1"/>
    <xf numFmtId="41" fontId="2" fillId="0" borderId="0" xfId="0" applyNumberFormat="1" applyFont="1"/>
    <xf numFmtId="5" fontId="2" fillId="0" borderId="0" xfId="0" applyNumberFormat="1" applyFont="1"/>
    <xf numFmtId="37" fontId="4" fillId="0" borderId="0" xfId="0" applyNumberFormat="1" applyFont="1"/>
    <xf numFmtId="165" fontId="2" fillId="0" borderId="0" xfId="0" applyNumberFormat="1" applyFont="1"/>
    <xf numFmtId="5" fontId="4" fillId="0" borderId="0" xfId="0" applyNumberFormat="1" applyFont="1"/>
    <xf numFmtId="10" fontId="4" fillId="0" borderId="0" xfId="0" applyNumberFormat="1" applyFont="1"/>
    <xf numFmtId="166" fontId="4" fillId="0" borderId="0" xfId="0" applyNumberFormat="1" applyFont="1"/>
    <xf numFmtId="41" fontId="4" fillId="0" borderId="0" xfId="0" quotePrefix="1" applyNumberFormat="1" applyFont="1" applyAlignment="1">
      <alignment horizontal="center"/>
    </xf>
    <xf numFmtId="41" fontId="4" fillId="0" borderId="0" xfId="0" applyNumberFormat="1" applyFont="1" applyAlignment="1">
      <alignment horizontal="center"/>
    </xf>
    <xf numFmtId="0" fontId="6" fillId="0" borderId="0" xfId="0" applyFont="1"/>
    <xf numFmtId="165" fontId="4" fillId="0" borderId="0" xfId="0" applyNumberFormat="1" applyFont="1" applyBorder="1"/>
    <xf numFmtId="3" fontId="4" fillId="0" borderId="0" xfId="0" applyNumberFormat="1" applyFont="1"/>
    <xf numFmtId="3" fontId="4" fillId="0" borderId="0" xfId="1" applyNumberFormat="1" applyFont="1"/>
    <xf numFmtId="3" fontId="4" fillId="0" borderId="1" xfId="1" applyNumberFormat="1" applyFont="1" applyBorder="1"/>
    <xf numFmtId="3" fontId="4" fillId="0" borderId="0" xfId="1" applyNumberFormat="1" applyFont="1" applyBorder="1"/>
    <xf numFmtId="3" fontId="4" fillId="0" borderId="0" xfId="1" applyNumberFormat="1" applyFont="1" applyFill="1"/>
    <xf numFmtId="3" fontId="2" fillId="0" borderId="0" xfId="1" applyNumberFormat="1" applyFont="1"/>
    <xf numFmtId="3" fontId="2" fillId="0" borderId="0" xfId="1" applyNumberFormat="1" applyFont="1" applyBorder="1"/>
    <xf numFmtId="3" fontId="2" fillId="0" borderId="0" xfId="0" applyNumberFormat="1" applyFont="1"/>
    <xf numFmtId="167" fontId="4" fillId="0" borderId="0" xfId="0" applyNumberFormat="1" applyFont="1" applyAlignment="1">
      <alignment horizontal="center"/>
    </xf>
    <xf numFmtId="3" fontId="4" fillId="0" borderId="1" xfId="0" applyNumberFormat="1" applyFont="1" applyBorder="1"/>
    <xf numFmtId="37" fontId="2" fillId="0" borderId="0" xfId="3" applyNumberFormat="1" applyFont="1" applyAlignment="1" applyProtection="1"/>
    <xf numFmtId="41" fontId="2" fillId="0" borderId="0" xfId="0" applyNumberFormat="1" applyFont="1" applyAlignment="1">
      <alignment horizontal="left"/>
    </xf>
    <xf numFmtId="0" fontId="4" fillId="0" borderId="2" xfId="0" applyFont="1" applyBorder="1"/>
    <xf numFmtId="41" fontId="4" fillId="0" borderId="2" xfId="1" applyNumberFormat="1" applyFont="1" applyBorder="1"/>
    <xf numFmtId="9" fontId="4" fillId="0" borderId="2" xfId="1" applyNumberFormat="1" applyFont="1" applyBorder="1"/>
    <xf numFmtId="3" fontId="4" fillId="0" borderId="2" xfId="1" applyNumberFormat="1" applyFont="1" applyBorder="1"/>
    <xf numFmtId="3" fontId="4" fillId="0" borderId="2" xfId="0" applyNumberFormat="1" applyFont="1" applyBorder="1"/>
    <xf numFmtId="0" fontId="4" fillId="0" borderId="2" xfId="0" applyFont="1" applyBorder="1" applyAlignment="1">
      <alignment horizontal="center"/>
    </xf>
    <xf numFmtId="41" fontId="4" fillId="0" borderId="2" xfId="1" applyNumberFormat="1" applyFont="1" applyFill="1" applyBorder="1"/>
    <xf numFmtId="42" fontId="4" fillId="0" borderId="2" xfId="0" applyNumberFormat="1" applyFont="1" applyBorder="1"/>
    <xf numFmtId="37" fontId="4" fillId="0" borderId="2" xfId="0" applyNumberFormat="1" applyFont="1" applyBorder="1"/>
    <xf numFmtId="2" fontId="4" fillId="0" borderId="2" xfId="0" applyNumberFormat="1" applyFont="1" applyBorder="1"/>
    <xf numFmtId="1" fontId="4" fillId="0" borderId="2" xfId="0" applyNumberFormat="1" applyFont="1" applyFill="1" applyBorder="1"/>
    <xf numFmtId="0" fontId="4" fillId="0" borderId="2" xfId="0" applyFont="1" applyFill="1" applyBorder="1"/>
    <xf numFmtId="41" fontId="4" fillId="0" borderId="2" xfId="0" applyNumberFormat="1" applyFont="1" applyFill="1" applyBorder="1"/>
    <xf numFmtId="9" fontId="4" fillId="0" borderId="2" xfId="0" applyNumberFormat="1" applyFont="1" applyBorder="1"/>
    <xf numFmtId="37" fontId="2" fillId="0" borderId="2" xfId="1" applyNumberFormat="1" applyFont="1" applyBorder="1"/>
    <xf numFmtId="5" fontId="2" fillId="0" borderId="2" xfId="1" applyNumberFormat="1" applyFont="1" applyBorder="1"/>
    <xf numFmtId="0" fontId="2" fillId="2" borderId="0" xfId="0" applyFont="1" applyFill="1"/>
    <xf numFmtId="1" fontId="4" fillId="2" borderId="0" xfId="0" applyNumberFormat="1" applyFont="1" applyFill="1" applyBorder="1"/>
    <xf numFmtId="0" fontId="4" fillId="2" borderId="0" xfId="0" applyFont="1" applyFill="1" applyBorder="1"/>
    <xf numFmtId="5" fontId="2" fillId="2" borderId="0" xfId="3" applyNumberFormat="1" applyFont="1" applyFill="1" applyAlignment="1" applyProtection="1"/>
    <xf numFmtId="37" fontId="2" fillId="2" borderId="0" xfId="3" applyNumberFormat="1" applyFont="1" applyFill="1" applyAlignment="1" applyProtection="1"/>
    <xf numFmtId="41" fontId="2" fillId="2" borderId="0" xfId="0" applyNumberFormat="1" applyFont="1" applyFill="1"/>
    <xf numFmtId="1" fontId="2" fillId="2" borderId="0" xfId="0" applyNumberFormat="1" applyFont="1" applyFill="1"/>
    <xf numFmtId="5" fontId="2" fillId="2" borderId="0" xfId="0" applyNumberFormat="1" applyFont="1" applyFill="1"/>
    <xf numFmtId="38" fontId="4" fillId="0" borderId="0" xfId="0" applyNumberFormat="1" applyFont="1"/>
    <xf numFmtId="38" fontId="4" fillId="0" borderId="2" xfId="0" applyNumberFormat="1" applyFont="1" applyBorder="1"/>
    <xf numFmtId="38" fontId="4" fillId="0" borderId="1" xfId="0" applyNumberFormat="1" applyFont="1" applyBorder="1"/>
    <xf numFmtId="38" fontId="2" fillId="0" borderId="0" xfId="3" applyNumberFormat="1" applyFont="1" applyAlignment="1" applyProtection="1"/>
    <xf numFmtId="6" fontId="2" fillId="0" borderId="0" xfId="0" applyNumberFormat="1" applyFont="1"/>
    <xf numFmtId="6" fontId="4" fillId="0" borderId="0" xfId="0" applyNumberFormat="1" applyFont="1"/>
    <xf numFmtId="6" fontId="4" fillId="0" borderId="0" xfId="1" applyNumberFormat="1" applyFont="1" applyBorder="1"/>
    <xf numFmtId="41" fontId="4" fillId="0" borderId="2" xfId="0" applyNumberFormat="1" applyFont="1" applyBorder="1" applyAlignment="1">
      <alignment horizontal="left"/>
    </xf>
    <xf numFmtId="168" fontId="4" fillId="0" borderId="0" xfId="0" applyNumberFormat="1" applyFont="1" applyBorder="1" applyAlignment="1">
      <alignment horizontal="right"/>
    </xf>
    <xf numFmtId="168" fontId="4" fillId="0" borderId="2" xfId="0" applyNumberFormat="1" applyFont="1" applyBorder="1"/>
    <xf numFmtId="168" fontId="4" fillId="0" borderId="0" xfId="0" applyNumberFormat="1" applyFont="1" applyBorder="1"/>
    <xf numFmtId="37" fontId="2" fillId="0" borderId="0" xfId="3" applyNumberFormat="1" applyFont="1" applyBorder="1" applyAlignment="1" applyProtection="1"/>
    <xf numFmtId="6" fontId="4" fillId="0" borderId="0" xfId="1" quotePrefix="1" applyNumberFormat="1" applyFont="1" applyBorder="1"/>
    <xf numFmtId="3" fontId="4" fillId="0" borderId="0" xfId="0" applyNumberFormat="1" applyFont="1" applyBorder="1"/>
    <xf numFmtId="6" fontId="2" fillId="0" borderId="0" xfId="1" applyNumberFormat="1" applyFont="1"/>
    <xf numFmtId="5" fontId="2" fillId="2" borderId="0" xfId="1" applyNumberFormat="1" applyFont="1" applyFill="1"/>
    <xf numFmtId="37" fontId="2" fillId="2" borderId="2" xfId="3" applyNumberFormat="1" applyFont="1" applyFill="1" applyBorder="1" applyAlignment="1" applyProtection="1"/>
    <xf numFmtId="41" fontId="2" fillId="0" borderId="0" xfId="0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15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=@SUM(H143:H145)" TargetMode="External"/><Relationship Id="rId2" Type="http://schemas.openxmlformats.org/officeDocument/2006/relationships/hyperlink" Target="mailto:=@SUM(H143:H145)" TargetMode="External"/><Relationship Id="rId1" Type="http://schemas.openxmlformats.org/officeDocument/2006/relationships/hyperlink" Target="mailto:=@SUM(H143:H145)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=@sum(H156:N156" TargetMode="External"/><Relationship Id="rId4" Type="http://schemas.openxmlformats.org/officeDocument/2006/relationships/hyperlink" Target="mailto:=@SUM(H143:H145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H213"/>
  <sheetViews>
    <sheetView tabSelected="1" view="pageBreakPreview" topLeftCell="F181" zoomScaleNormal="100" zoomScaleSheetLayoutView="100" workbookViewId="0">
      <selection activeCell="J204" sqref="J204"/>
    </sheetView>
  </sheetViews>
  <sheetFormatPr defaultRowHeight="12.75"/>
  <cols>
    <col min="1" max="1" width="2.7109375" style="6" customWidth="1"/>
    <col min="2" max="2" width="6.5703125" style="13" customWidth="1"/>
    <col min="3" max="3" width="5.42578125" style="39" customWidth="1"/>
    <col min="4" max="4" width="9.140625" style="6"/>
    <col min="5" max="5" width="12.85546875" style="6" customWidth="1"/>
    <col min="6" max="6" width="9.140625" style="6"/>
    <col min="7" max="7" width="1.7109375" style="6" customWidth="1"/>
    <col min="8" max="8" width="19.5703125" style="13" customWidth="1"/>
    <col min="9" max="9" width="1.7109375" style="13" customWidth="1"/>
    <col min="10" max="10" width="14.5703125" style="6" customWidth="1"/>
    <col min="11" max="11" width="1.7109375" style="6" customWidth="1"/>
    <col min="12" max="12" width="14" style="13" customWidth="1"/>
    <col min="13" max="13" width="1.7109375" style="6" customWidth="1"/>
    <col min="14" max="14" width="14.7109375" style="6" customWidth="1"/>
    <col min="15" max="15" width="1.7109375" style="6" customWidth="1"/>
    <col min="16" max="16" width="19.28515625" style="13" customWidth="1"/>
    <col min="17" max="17" width="1.7109375" style="13" customWidth="1"/>
    <col min="18" max="18" width="20.85546875" style="13" customWidth="1"/>
    <col min="19" max="19" width="1.7109375" style="13" customWidth="1"/>
    <col min="20" max="20" width="18.7109375" style="13" customWidth="1"/>
    <col min="21" max="21" width="1.7109375" style="13" customWidth="1"/>
    <col min="22" max="22" width="19.85546875" style="6" customWidth="1"/>
    <col min="23" max="23" width="14.7109375" style="6" customWidth="1"/>
    <col min="24" max="24" width="8.7109375" style="6" customWidth="1"/>
    <col min="25" max="25" width="20.7109375" style="6" customWidth="1"/>
    <col min="26" max="26" width="1.7109375" style="6" customWidth="1"/>
    <col min="27" max="27" width="22.5703125" style="6" customWidth="1"/>
    <col min="28" max="28" width="10.28515625" style="6" bestFit="1" customWidth="1"/>
    <col min="29" max="31" width="9.140625" style="6"/>
    <col min="32" max="34" width="9.140625" style="22"/>
    <col min="35" max="16384" width="9.140625" style="6"/>
  </cols>
  <sheetData>
    <row r="1" spans="1:27">
      <c r="A1" s="1" t="s">
        <v>93</v>
      </c>
      <c r="Q1" s="6"/>
      <c r="R1" s="6"/>
      <c r="S1" s="6"/>
      <c r="T1" s="6"/>
      <c r="U1" s="6"/>
      <c r="V1" s="13"/>
      <c r="W1" s="13"/>
      <c r="X1" s="13"/>
      <c r="Y1" s="13"/>
      <c r="Z1" s="13"/>
    </row>
    <row r="2" spans="1:27">
      <c r="A2" s="1" t="s">
        <v>103</v>
      </c>
      <c r="D2" s="1" t="s">
        <v>136</v>
      </c>
      <c r="E2" s="2"/>
      <c r="Q2" s="6"/>
      <c r="R2" s="6"/>
      <c r="S2" s="6"/>
      <c r="T2" s="6"/>
      <c r="U2" s="6"/>
      <c r="V2" s="13"/>
      <c r="W2" s="13"/>
      <c r="X2" s="13"/>
      <c r="Y2" s="13"/>
      <c r="Z2" s="13"/>
    </row>
    <row r="3" spans="1:27">
      <c r="E3" s="2"/>
      <c r="F3" s="1"/>
      <c r="Q3" s="6"/>
      <c r="R3" s="6"/>
      <c r="S3" s="6"/>
      <c r="T3" s="6"/>
      <c r="U3" s="6"/>
      <c r="V3" s="13"/>
      <c r="W3" s="13"/>
      <c r="X3" s="13"/>
      <c r="Y3" s="13"/>
      <c r="Z3" s="13"/>
    </row>
    <row r="4" spans="1:27">
      <c r="D4" s="6" t="s">
        <v>0</v>
      </c>
      <c r="Q4" s="6"/>
      <c r="R4" s="6"/>
      <c r="S4" s="6"/>
      <c r="T4" s="6"/>
      <c r="U4" s="6"/>
      <c r="V4" s="13"/>
      <c r="W4" s="13"/>
      <c r="X4" s="13"/>
      <c r="Y4" s="13"/>
      <c r="Z4" s="13"/>
    </row>
    <row r="5" spans="1:27">
      <c r="A5" s="3" t="s">
        <v>2</v>
      </c>
      <c r="B5" s="35"/>
      <c r="C5" s="40"/>
      <c r="D5" s="137" t="s">
        <v>96</v>
      </c>
      <c r="E5" s="137"/>
      <c r="F5" s="137"/>
      <c r="G5" s="7"/>
      <c r="J5" s="3" t="s">
        <v>97</v>
      </c>
      <c r="K5" s="3"/>
      <c r="L5" s="9">
        <v>40437</v>
      </c>
      <c r="Q5" s="6"/>
      <c r="R5" s="6"/>
      <c r="S5" s="6"/>
      <c r="T5" s="6"/>
      <c r="U5" s="6"/>
      <c r="X5" s="11"/>
      <c r="Y5" s="11"/>
      <c r="Z5" s="11"/>
    </row>
    <row r="6" spans="1:27">
      <c r="A6" s="4" t="s">
        <v>3</v>
      </c>
      <c r="B6" s="38"/>
      <c r="C6" s="41"/>
      <c r="D6" s="138" t="s">
        <v>94</v>
      </c>
      <c r="E6" s="138"/>
      <c r="F6" s="138"/>
      <c r="G6" s="7"/>
      <c r="J6" s="48" t="s">
        <v>98</v>
      </c>
      <c r="K6" s="48"/>
      <c r="L6" s="51" t="s">
        <v>99</v>
      </c>
      <c r="Q6" s="6"/>
      <c r="R6" s="6"/>
      <c r="S6" s="6"/>
      <c r="T6" s="6"/>
      <c r="U6" s="6"/>
      <c r="X6" s="8"/>
      <c r="Y6" s="8"/>
      <c r="Z6" s="8"/>
      <c r="AA6" s="1" t="s">
        <v>186</v>
      </c>
    </row>
    <row r="7" spans="1:27">
      <c r="A7" s="48" t="s">
        <v>4</v>
      </c>
      <c r="B7" s="49"/>
      <c r="C7" s="50"/>
      <c r="D7" s="139" t="s">
        <v>95</v>
      </c>
      <c r="E7" s="139"/>
      <c r="F7" s="139"/>
      <c r="G7" s="7"/>
      <c r="J7" s="10" t="s">
        <v>0</v>
      </c>
      <c r="K7" s="10"/>
      <c r="L7" s="21" t="s">
        <v>0</v>
      </c>
      <c r="Q7" s="5"/>
      <c r="R7" s="5"/>
      <c r="S7" s="5"/>
      <c r="T7" s="5"/>
      <c r="U7" s="5"/>
      <c r="V7" s="5"/>
      <c r="W7" s="5"/>
      <c r="X7" s="8"/>
      <c r="Y7" s="21" t="s">
        <v>183</v>
      </c>
      <c r="Z7" s="8"/>
      <c r="AA7" s="21" t="s">
        <v>130</v>
      </c>
    </row>
    <row r="8" spans="1:27">
      <c r="A8" s="10" t="s">
        <v>0</v>
      </c>
      <c r="B8" s="18"/>
      <c r="C8" s="42"/>
      <c r="D8" s="135" t="s">
        <v>0</v>
      </c>
      <c r="E8" s="136"/>
      <c r="F8" s="136"/>
      <c r="G8" s="15"/>
      <c r="H8" s="13" t="s">
        <v>0</v>
      </c>
      <c r="I8" s="18"/>
      <c r="J8" s="5"/>
      <c r="K8" s="5"/>
      <c r="L8" s="18"/>
      <c r="P8" s="21" t="s">
        <v>126</v>
      </c>
      <c r="Q8" s="16"/>
      <c r="R8" s="21" t="s">
        <v>125</v>
      </c>
      <c r="S8" s="16"/>
      <c r="T8" s="21" t="s">
        <v>124</v>
      </c>
      <c r="U8" s="16"/>
      <c r="V8" s="21" t="s">
        <v>126</v>
      </c>
      <c r="W8" s="17"/>
      <c r="X8" s="17"/>
      <c r="Y8" s="21" t="s">
        <v>184</v>
      </c>
      <c r="Z8" s="17"/>
      <c r="AA8" s="21" t="s">
        <v>185</v>
      </c>
    </row>
    <row r="9" spans="1:27" ht="15">
      <c r="B9" s="134" t="s">
        <v>100</v>
      </c>
      <c r="C9" s="134"/>
      <c r="D9" s="134"/>
      <c r="E9" s="134"/>
      <c r="F9" s="5"/>
      <c r="H9" s="55" t="s">
        <v>101</v>
      </c>
      <c r="I9" s="62"/>
      <c r="J9" s="61" t="s">
        <v>102</v>
      </c>
      <c r="K9" s="61"/>
      <c r="L9" s="61" t="s">
        <v>104</v>
      </c>
      <c r="N9" s="61" t="s">
        <v>137</v>
      </c>
      <c r="P9" s="55" t="s">
        <v>105</v>
      </c>
      <c r="Q9" s="5"/>
      <c r="R9" s="61" t="s">
        <v>106</v>
      </c>
      <c r="S9" s="5"/>
      <c r="T9" s="61" t="s">
        <v>106</v>
      </c>
      <c r="U9" s="5"/>
      <c r="V9" s="61" t="s">
        <v>106</v>
      </c>
      <c r="W9" s="18"/>
      <c r="X9" s="18"/>
      <c r="Y9" s="61" t="s">
        <v>182</v>
      </c>
      <c r="Z9" s="18"/>
      <c r="AA9" s="61" t="s">
        <v>182</v>
      </c>
    </row>
    <row r="10" spans="1:27">
      <c r="B10" s="13" t="s">
        <v>0</v>
      </c>
      <c r="I10" s="18"/>
      <c r="J10" s="13" t="s">
        <v>117</v>
      </c>
      <c r="K10" s="13"/>
      <c r="L10" s="76" t="s">
        <v>119</v>
      </c>
      <c r="N10" s="76" t="s">
        <v>138</v>
      </c>
      <c r="Q10" s="5"/>
      <c r="S10" s="5"/>
      <c r="U10" s="5"/>
      <c r="V10" s="76" t="s">
        <v>127</v>
      </c>
      <c r="W10" s="18"/>
      <c r="X10" s="18"/>
      <c r="Y10" s="76" t="s">
        <v>0</v>
      </c>
      <c r="Z10" s="18"/>
    </row>
    <row r="11" spans="1:27">
      <c r="E11" s="77" t="s">
        <v>121</v>
      </c>
      <c r="I11" s="18"/>
      <c r="J11" s="75" t="s">
        <v>118</v>
      </c>
      <c r="K11" s="13"/>
      <c r="L11" s="76" t="s">
        <v>120</v>
      </c>
      <c r="N11" s="76" t="s">
        <v>139</v>
      </c>
      <c r="Q11" s="5"/>
      <c r="S11" s="5"/>
      <c r="U11" s="5"/>
      <c r="V11" s="87">
        <v>6</v>
      </c>
      <c r="W11" s="77" t="s">
        <v>121</v>
      </c>
      <c r="Y11" s="87" t="s">
        <v>0</v>
      </c>
    </row>
    <row r="12" spans="1:27">
      <c r="B12" s="35" t="s">
        <v>50</v>
      </c>
      <c r="C12" s="40"/>
      <c r="D12" s="14"/>
      <c r="E12" s="72">
        <f>(+P$24+P$50+P$51+P$68+P$69+P$71+P$78+P$94+P$97+P$100+P$117+P$157+P$134)</f>
        <v>17834000</v>
      </c>
      <c r="F12" s="73">
        <f>E12/(P183-P167-P181)</f>
        <v>0.35020968004377051</v>
      </c>
      <c r="I12" s="18"/>
      <c r="J12" s="13"/>
      <c r="K12" s="13"/>
      <c r="N12" s="13"/>
      <c r="Q12" s="5"/>
      <c r="S12" s="5"/>
      <c r="U12" s="5"/>
      <c r="V12" s="13"/>
      <c r="W12" s="72">
        <f>(+V$24+V$50+V$51+V$68+V$69+V$71+V$78+V$94+V$97+V$100+V$117+V$157+V$134)</f>
        <v>4576227.5000000009</v>
      </c>
      <c r="X12" s="73">
        <f>W12/(V183-V167-V181)</f>
        <v>0.28206001962863869</v>
      </c>
      <c r="Y12" s="13"/>
      <c r="Z12" s="73"/>
    </row>
    <row r="13" spans="1:27">
      <c r="B13" s="18">
        <v>190</v>
      </c>
      <c r="C13" s="42" t="s">
        <v>108</v>
      </c>
      <c r="D13" s="5"/>
      <c r="H13" s="13" t="s">
        <v>107</v>
      </c>
      <c r="I13" s="18"/>
      <c r="J13" s="13" t="s">
        <v>107</v>
      </c>
      <c r="K13" s="13"/>
      <c r="L13" s="13" t="s">
        <v>107</v>
      </c>
      <c r="N13" s="13" t="s">
        <v>107</v>
      </c>
      <c r="P13" s="13" t="s">
        <v>107</v>
      </c>
      <c r="Q13" s="5"/>
      <c r="R13" s="79">
        <v>0</v>
      </c>
      <c r="S13" s="5"/>
      <c r="T13" s="13">
        <v>95285</v>
      </c>
      <c r="U13" s="5"/>
      <c r="V13" s="79">
        <f>(R13/$V$11)+T13</f>
        <v>95285</v>
      </c>
      <c r="W13" s="78">
        <f>W12/$E12</f>
        <v>0.2566012952786812</v>
      </c>
      <c r="X13" s="18"/>
      <c r="Y13" s="79">
        <f>T13/$F$188</f>
        <v>280250</v>
      </c>
      <c r="Z13" s="18"/>
      <c r="AA13" s="115">
        <f>0-Y13</f>
        <v>-280250</v>
      </c>
    </row>
    <row r="14" spans="1:27">
      <c r="B14" s="41">
        <v>101</v>
      </c>
      <c r="C14" s="91" t="s">
        <v>13</v>
      </c>
      <c r="D14" s="91"/>
      <c r="E14" s="91"/>
      <c r="F14" s="91"/>
      <c r="G14" s="91"/>
      <c r="H14" s="92">
        <v>236000</v>
      </c>
      <c r="I14" s="92"/>
      <c r="J14" s="92">
        <v>178000</v>
      </c>
      <c r="K14" s="92"/>
      <c r="L14" s="92">
        <v>26000</v>
      </c>
      <c r="M14" s="91"/>
      <c r="N14" s="92">
        <v>2000</v>
      </c>
      <c r="O14" s="91"/>
      <c r="P14" s="92">
        <f>SUM(H14:N14)</f>
        <v>442000</v>
      </c>
      <c r="Q14" s="93"/>
      <c r="R14" s="94">
        <f>1831281+3831207</f>
        <v>5662488</v>
      </c>
      <c r="S14" s="93"/>
      <c r="T14" s="92">
        <v>0</v>
      </c>
      <c r="U14" s="93"/>
      <c r="V14" s="95">
        <f t="shared" ref="V14:V23" si="0">(R14/$V$11)+T14</f>
        <v>943748</v>
      </c>
      <c r="W14" s="38"/>
      <c r="X14" s="38"/>
      <c r="Y14" s="95">
        <v>0</v>
      </c>
      <c r="Z14" s="38"/>
      <c r="AA14" s="116" t="s">
        <v>178</v>
      </c>
    </row>
    <row r="15" spans="1:27">
      <c r="B15" s="41">
        <v>102</v>
      </c>
      <c r="C15" s="91" t="s">
        <v>14</v>
      </c>
      <c r="D15" s="91"/>
      <c r="E15" s="91"/>
      <c r="F15" s="91"/>
      <c r="G15" s="96"/>
      <c r="H15" s="92">
        <v>236000</v>
      </c>
      <c r="I15" s="92"/>
      <c r="J15" s="92">
        <v>178000</v>
      </c>
      <c r="K15" s="92"/>
      <c r="L15" s="92">
        <v>7000</v>
      </c>
      <c r="M15" s="91"/>
      <c r="N15" s="92">
        <v>0</v>
      </c>
      <c r="O15" s="91"/>
      <c r="P15" s="92">
        <f t="shared" ref="P15:P22" si="1">SUM(H15:N15)</f>
        <v>421000</v>
      </c>
      <c r="Q15" s="93"/>
      <c r="R15" s="94">
        <v>2324677</v>
      </c>
      <c r="S15" s="93"/>
      <c r="T15" s="92">
        <v>0</v>
      </c>
      <c r="U15" s="93"/>
      <c r="V15" s="95">
        <f t="shared" si="0"/>
        <v>387446.16666666669</v>
      </c>
      <c r="W15" s="38"/>
      <c r="X15" s="38"/>
      <c r="Y15" s="95">
        <v>0</v>
      </c>
      <c r="Z15" s="38"/>
      <c r="AA15" s="116" t="s">
        <v>178</v>
      </c>
    </row>
    <row r="16" spans="1:27">
      <c r="B16" s="41">
        <v>103</v>
      </c>
      <c r="C16" s="91" t="s">
        <v>15</v>
      </c>
      <c r="D16" s="91"/>
      <c r="E16" s="91"/>
      <c r="F16" s="91"/>
      <c r="G16" s="91"/>
      <c r="H16" s="92">
        <v>1160000</v>
      </c>
      <c r="I16" s="92"/>
      <c r="J16" s="92">
        <v>698000</v>
      </c>
      <c r="K16" s="92"/>
      <c r="L16" s="92">
        <v>557000</v>
      </c>
      <c r="M16" s="91"/>
      <c r="N16" s="92">
        <v>35000</v>
      </c>
      <c r="O16" s="91"/>
      <c r="P16" s="92">
        <f t="shared" si="1"/>
        <v>2450000</v>
      </c>
      <c r="Q16" s="93"/>
      <c r="R16" s="94">
        <v>1369449</v>
      </c>
      <c r="S16" s="93"/>
      <c r="T16" s="92">
        <v>11441</v>
      </c>
      <c r="U16" s="93"/>
      <c r="V16" s="95">
        <f t="shared" si="0"/>
        <v>239682.5</v>
      </c>
      <c r="W16" s="38"/>
      <c r="X16" s="38"/>
      <c r="Y16" s="95">
        <f>T16/$F$188</f>
        <v>33650</v>
      </c>
      <c r="Z16" s="38"/>
      <c r="AA16" s="116">
        <f>0-Y16</f>
        <v>-33650</v>
      </c>
    </row>
    <row r="17" spans="2:28">
      <c r="B17" s="41">
        <v>104</v>
      </c>
      <c r="C17" s="91" t="s">
        <v>12</v>
      </c>
      <c r="D17" s="91"/>
      <c r="E17" s="91"/>
      <c r="F17" s="91"/>
      <c r="G17" s="91"/>
      <c r="H17" s="97">
        <v>0</v>
      </c>
      <c r="I17" s="97"/>
      <c r="J17" s="97">
        <v>0</v>
      </c>
      <c r="K17" s="97"/>
      <c r="L17" s="97">
        <v>0</v>
      </c>
      <c r="M17" s="91"/>
      <c r="N17" s="97">
        <v>0</v>
      </c>
      <c r="O17" s="91"/>
      <c r="P17" s="92">
        <f t="shared" si="1"/>
        <v>0</v>
      </c>
      <c r="Q17" s="93"/>
      <c r="R17" s="94">
        <v>817735</v>
      </c>
      <c r="S17" s="93"/>
      <c r="T17" s="92">
        <f>SUM(H17:M17)</f>
        <v>0</v>
      </c>
      <c r="U17" s="93"/>
      <c r="V17" s="95">
        <f t="shared" si="0"/>
        <v>136289.16666666666</v>
      </c>
      <c r="W17" s="38"/>
      <c r="X17" s="38"/>
      <c r="Y17" s="95">
        <v>0</v>
      </c>
      <c r="Z17" s="38"/>
      <c r="AA17" s="116" t="s">
        <v>178</v>
      </c>
    </row>
    <row r="18" spans="2:28">
      <c r="B18" s="41">
        <v>105</v>
      </c>
      <c r="C18" s="91" t="s">
        <v>16</v>
      </c>
      <c r="D18" s="91"/>
      <c r="E18" s="91"/>
      <c r="F18" s="91"/>
      <c r="G18" s="91"/>
      <c r="H18" s="92">
        <v>290000</v>
      </c>
      <c r="I18" s="92"/>
      <c r="J18" s="92">
        <v>210000</v>
      </c>
      <c r="K18" s="92"/>
      <c r="L18" s="92">
        <v>0</v>
      </c>
      <c r="M18" s="91"/>
      <c r="N18" s="92">
        <v>0</v>
      </c>
      <c r="O18" s="91"/>
      <c r="P18" s="92">
        <f t="shared" si="1"/>
        <v>500000</v>
      </c>
      <c r="Q18" s="93"/>
      <c r="R18" s="94">
        <v>669036</v>
      </c>
      <c r="S18" s="93"/>
      <c r="T18" s="92">
        <v>0</v>
      </c>
      <c r="U18" s="93"/>
      <c r="V18" s="95">
        <f t="shared" si="0"/>
        <v>111506</v>
      </c>
      <c r="W18" s="38"/>
      <c r="X18" s="38"/>
      <c r="Y18" s="95">
        <v>0</v>
      </c>
      <c r="Z18" s="38"/>
      <c r="AA18" s="116" t="s">
        <v>178</v>
      </c>
    </row>
    <row r="19" spans="2:28">
      <c r="B19" s="41">
        <v>106</v>
      </c>
      <c r="C19" s="91" t="s">
        <v>17</v>
      </c>
      <c r="D19" s="91"/>
      <c r="E19" s="91"/>
      <c r="F19" s="91"/>
      <c r="G19" s="91"/>
      <c r="H19" s="92">
        <v>71000</v>
      </c>
      <c r="I19" s="92"/>
      <c r="J19" s="92">
        <v>69000</v>
      </c>
      <c r="K19" s="92"/>
      <c r="L19" s="92">
        <v>8000</v>
      </c>
      <c r="M19" s="91"/>
      <c r="N19" s="92">
        <v>2000</v>
      </c>
      <c r="O19" s="91"/>
      <c r="P19" s="92">
        <f t="shared" si="1"/>
        <v>150000</v>
      </c>
      <c r="Q19" s="93"/>
      <c r="R19" s="94">
        <v>6720</v>
      </c>
      <c r="S19" s="93"/>
      <c r="T19" s="92">
        <v>0</v>
      </c>
      <c r="U19" s="93"/>
      <c r="V19" s="95">
        <f t="shared" si="0"/>
        <v>1120</v>
      </c>
      <c r="W19" s="38"/>
      <c r="X19" s="38"/>
      <c r="Y19" s="95">
        <v>0</v>
      </c>
      <c r="Z19" s="38"/>
      <c r="AA19" s="116" t="s">
        <v>178</v>
      </c>
    </row>
    <row r="20" spans="2:28">
      <c r="B20" s="41">
        <v>107</v>
      </c>
      <c r="C20" s="91" t="s">
        <v>18</v>
      </c>
      <c r="D20" s="91"/>
      <c r="E20" s="91"/>
      <c r="F20" s="91"/>
      <c r="G20" s="91"/>
      <c r="H20" s="92">
        <v>166000</v>
      </c>
      <c r="I20" s="92"/>
      <c r="J20" s="92">
        <v>70000</v>
      </c>
      <c r="K20" s="92"/>
      <c r="L20" s="92">
        <v>35000</v>
      </c>
      <c r="M20" s="91"/>
      <c r="N20" s="92">
        <v>4000</v>
      </c>
      <c r="O20" s="91"/>
      <c r="P20" s="92">
        <f t="shared" si="1"/>
        <v>275000</v>
      </c>
      <c r="Q20" s="93"/>
      <c r="R20" s="94">
        <f>23269+979003</f>
        <v>1002272</v>
      </c>
      <c r="S20" s="93"/>
      <c r="T20" s="92">
        <v>0</v>
      </c>
      <c r="U20" s="93"/>
      <c r="V20" s="95">
        <f t="shared" si="0"/>
        <v>167045.33333333334</v>
      </c>
      <c r="W20" s="38"/>
      <c r="X20" s="38"/>
      <c r="Y20" s="95">
        <v>0</v>
      </c>
      <c r="Z20" s="38"/>
      <c r="AA20" s="116" t="s">
        <v>178</v>
      </c>
    </row>
    <row r="21" spans="2:28">
      <c r="B21" s="41">
        <v>108</v>
      </c>
      <c r="C21" s="91" t="s">
        <v>19</v>
      </c>
      <c r="D21" s="91"/>
      <c r="E21" s="91"/>
      <c r="F21" s="91"/>
      <c r="G21" s="91"/>
      <c r="H21" s="92">
        <v>96000</v>
      </c>
      <c r="I21" s="92"/>
      <c r="J21" s="92">
        <v>0</v>
      </c>
      <c r="K21" s="92"/>
      <c r="L21" s="92">
        <v>0</v>
      </c>
      <c r="M21" s="91"/>
      <c r="N21" s="92">
        <v>0</v>
      </c>
      <c r="O21" s="91"/>
      <c r="P21" s="92">
        <f t="shared" si="1"/>
        <v>96000</v>
      </c>
      <c r="Q21" s="93"/>
      <c r="R21" s="94">
        <f>214756+27675</f>
        <v>242431</v>
      </c>
      <c r="S21" s="93"/>
      <c r="T21" s="92">
        <v>0</v>
      </c>
      <c r="U21" s="93"/>
      <c r="V21" s="95">
        <f t="shared" si="0"/>
        <v>40405.166666666664</v>
      </c>
      <c r="W21" s="38"/>
      <c r="X21" s="38"/>
      <c r="Y21" s="95">
        <v>0</v>
      </c>
      <c r="Z21" s="38"/>
      <c r="AA21" s="116" t="s">
        <v>178</v>
      </c>
    </row>
    <row r="22" spans="2:28">
      <c r="B22" s="41">
        <v>109</v>
      </c>
      <c r="C22" s="91" t="s">
        <v>20</v>
      </c>
      <c r="D22" s="91"/>
      <c r="E22" s="91"/>
      <c r="F22" s="91"/>
      <c r="G22" s="91"/>
      <c r="H22" s="92">
        <v>50000</v>
      </c>
      <c r="I22" s="92"/>
      <c r="J22" s="92">
        <v>0</v>
      </c>
      <c r="K22" s="92"/>
      <c r="L22" s="92">
        <v>0</v>
      </c>
      <c r="M22" s="91"/>
      <c r="N22" s="92">
        <v>0</v>
      </c>
      <c r="O22" s="91"/>
      <c r="P22" s="92">
        <f t="shared" si="1"/>
        <v>50000</v>
      </c>
      <c r="Q22" s="93"/>
      <c r="R22" s="94">
        <v>0</v>
      </c>
      <c r="S22" s="93"/>
      <c r="T22" s="92">
        <v>0</v>
      </c>
      <c r="U22" s="93"/>
      <c r="V22" s="95">
        <f t="shared" si="0"/>
        <v>0</v>
      </c>
      <c r="W22" s="38"/>
      <c r="X22" s="38"/>
      <c r="Y22" s="95">
        <f t="shared" ref="Y22:Y23" si="2">V22/$F$188</f>
        <v>0</v>
      </c>
      <c r="Z22" s="38"/>
      <c r="AA22" s="116" t="s">
        <v>178</v>
      </c>
    </row>
    <row r="23" spans="2:28">
      <c r="B23" s="39">
        <v>110</v>
      </c>
      <c r="C23" s="6" t="s">
        <v>21</v>
      </c>
      <c r="G23" s="5"/>
      <c r="H23" s="32">
        <v>0</v>
      </c>
      <c r="I23" s="34"/>
      <c r="J23" s="32">
        <v>0</v>
      </c>
      <c r="K23" s="34"/>
      <c r="L23" s="32">
        <v>0</v>
      </c>
      <c r="N23" s="32">
        <v>0</v>
      </c>
      <c r="P23" s="33">
        <f>SUM(H23:N23)</f>
        <v>0</v>
      </c>
      <c r="Q23" s="23"/>
      <c r="R23" s="81">
        <f>SUM(F23:K23)</f>
        <v>0</v>
      </c>
      <c r="S23" s="23"/>
      <c r="T23" s="33">
        <f>SUM(H23:M23)</f>
        <v>0</v>
      </c>
      <c r="U23" s="23"/>
      <c r="V23" s="88">
        <f t="shared" si="0"/>
        <v>0</v>
      </c>
      <c r="W23" s="18"/>
      <c r="X23" s="18"/>
      <c r="Y23" s="95">
        <f t="shared" si="2"/>
        <v>0</v>
      </c>
      <c r="Z23" s="18"/>
      <c r="AA23" s="116" t="s">
        <v>178</v>
      </c>
    </row>
    <row r="24" spans="2:28">
      <c r="G24" s="5"/>
      <c r="H24" s="52">
        <f>SUM(H14:H23)</f>
        <v>2305000</v>
      </c>
      <c r="I24" s="52"/>
      <c r="J24" s="52">
        <f>SUM(J14:J23)</f>
        <v>1403000</v>
      </c>
      <c r="K24" s="52"/>
      <c r="L24" s="52">
        <f>SUM(L14:L23)</f>
        <v>633000</v>
      </c>
      <c r="N24" s="52">
        <f>SUM(N14:N23)</f>
        <v>43000</v>
      </c>
      <c r="P24" s="57">
        <f>SUM(H24:N24)</f>
        <v>4384000</v>
      </c>
      <c r="Q24" s="5"/>
      <c r="R24" s="82">
        <f>SUM(R13:R23)</f>
        <v>12094808</v>
      </c>
      <c r="S24" s="5"/>
      <c r="T24" s="52">
        <f>SUM(T13:T23)</f>
        <v>106726</v>
      </c>
      <c r="U24" s="5"/>
      <c r="V24" s="52">
        <f>SUM(V13:V23)</f>
        <v>2122527.3333333335</v>
      </c>
      <c r="W24" s="18"/>
      <c r="X24" s="18"/>
      <c r="Y24" s="52">
        <f>SUM(Y13:Y23)</f>
        <v>313900</v>
      </c>
      <c r="Z24" s="18"/>
      <c r="AA24" s="127">
        <f>SUM(AA13:AA23)</f>
        <v>-313900</v>
      </c>
      <c r="AB24" s="115" t="s">
        <v>0</v>
      </c>
    </row>
    <row r="25" spans="2:28">
      <c r="G25" s="5"/>
      <c r="H25" s="29"/>
      <c r="I25" s="29"/>
      <c r="J25" s="29"/>
      <c r="K25" s="29"/>
      <c r="L25" s="29"/>
      <c r="N25" s="29"/>
      <c r="P25" s="29"/>
      <c r="Q25" s="5"/>
      <c r="R25" s="82"/>
      <c r="S25" s="5"/>
      <c r="T25" s="29"/>
      <c r="U25" s="5"/>
      <c r="V25" s="29"/>
      <c r="W25" s="18"/>
      <c r="X25" s="18"/>
      <c r="Y25" s="29"/>
      <c r="Z25" s="18"/>
      <c r="AA25" s="29"/>
    </row>
    <row r="26" spans="2:28">
      <c r="B26" s="35" t="s">
        <v>51</v>
      </c>
      <c r="C26" s="40"/>
      <c r="D26" s="14"/>
      <c r="G26" s="5"/>
      <c r="H26" s="53">
        <v>540000</v>
      </c>
      <c r="I26" s="63"/>
      <c r="J26" s="53">
        <v>239000</v>
      </c>
      <c r="K26" s="63"/>
      <c r="L26" s="53">
        <v>180000</v>
      </c>
      <c r="N26" s="53">
        <v>45000</v>
      </c>
      <c r="P26" s="33">
        <f>SUM(H26:N26)</f>
        <v>1004000</v>
      </c>
      <c r="Q26" s="5"/>
      <c r="R26" s="81">
        <v>0</v>
      </c>
      <c r="S26" s="5"/>
      <c r="T26" s="33">
        <v>369977</v>
      </c>
      <c r="U26" s="5"/>
      <c r="V26" s="88">
        <f t="shared" ref="V26" si="3">(R26/$V$11)+T26</f>
        <v>369977</v>
      </c>
      <c r="W26" s="18"/>
      <c r="X26" s="18"/>
      <c r="Y26" s="88">
        <v>500000</v>
      </c>
      <c r="Z26" s="18"/>
      <c r="AA26" s="117">
        <f t="shared" ref="AA26" si="4">P26-Y26</f>
        <v>504000</v>
      </c>
    </row>
    <row r="27" spans="2:28">
      <c r="G27" s="5"/>
      <c r="H27" s="52">
        <f>SUM(H26:H26)</f>
        <v>540000</v>
      </c>
      <c r="I27" s="52"/>
      <c r="J27" s="52">
        <f>SUM(J26:J26)</f>
        <v>239000</v>
      </c>
      <c r="K27" s="52"/>
      <c r="L27" s="52">
        <f>SUM(L26:L26)</f>
        <v>180000</v>
      </c>
      <c r="N27" s="52">
        <f>SUM(N26:N26)</f>
        <v>45000</v>
      </c>
      <c r="P27" s="57">
        <f>SUM(H27:N27)</f>
        <v>1004000</v>
      </c>
      <c r="Q27" s="23"/>
      <c r="R27" s="82">
        <f>SUM(R26:R26)</f>
        <v>0</v>
      </c>
      <c r="S27" s="23"/>
      <c r="T27" s="52">
        <f>SUM(T26:T26)</f>
        <v>369977</v>
      </c>
      <c r="U27" s="23"/>
      <c r="V27" s="52">
        <f>SUM(V26:V26)</f>
        <v>369977</v>
      </c>
      <c r="W27" s="18"/>
      <c r="X27" s="18"/>
      <c r="Y27" s="52">
        <f>SUM(Y26:Y26)</f>
        <v>500000</v>
      </c>
      <c r="Z27" s="18"/>
      <c r="AA27" s="127">
        <f>+AA26</f>
        <v>504000</v>
      </c>
    </row>
    <row r="28" spans="2:28">
      <c r="E28" s="77" t="s">
        <v>123</v>
      </c>
      <c r="G28" s="5"/>
      <c r="H28" s="54"/>
      <c r="I28" s="64"/>
      <c r="J28" s="54"/>
      <c r="K28" s="54"/>
      <c r="L28" s="54"/>
      <c r="N28" s="54"/>
      <c r="P28" s="54"/>
      <c r="Q28" s="23"/>
      <c r="R28" s="79"/>
      <c r="S28" s="23"/>
      <c r="T28" s="54"/>
      <c r="U28" s="23"/>
      <c r="V28" s="54"/>
      <c r="W28" s="77" t="s">
        <v>123</v>
      </c>
      <c r="Y28" s="54"/>
      <c r="AA28" s="54"/>
    </row>
    <row r="29" spans="2:28">
      <c r="B29" s="35" t="s">
        <v>52</v>
      </c>
      <c r="C29" s="40"/>
      <c r="D29" s="14"/>
      <c r="E29" s="72">
        <f>P$183-P$167-P$181-E$12-E$119</f>
        <v>29168778</v>
      </c>
      <c r="F29" s="73">
        <f>E29/(P183-P167-P181)</f>
        <v>0.57279289058247018</v>
      </c>
      <c r="G29" s="5"/>
      <c r="H29" s="54"/>
      <c r="I29" s="64"/>
      <c r="J29" s="54"/>
      <c r="K29" s="54"/>
      <c r="L29" s="54"/>
      <c r="N29" s="54"/>
      <c r="P29" s="54"/>
      <c r="Q29" s="5"/>
      <c r="R29" s="79"/>
      <c r="S29" s="5"/>
      <c r="T29" s="54"/>
      <c r="U29" s="5"/>
      <c r="V29" s="54"/>
      <c r="W29" s="72">
        <f>V$183-V167-V181-W$12-W$119</f>
        <v>10165753.649999997</v>
      </c>
      <c r="X29" s="73">
        <f>W29/(V183-V167-V181)</f>
        <v>0.62657563988217457</v>
      </c>
      <c r="Y29" s="54"/>
      <c r="Z29" s="73"/>
      <c r="AA29" s="54"/>
    </row>
    <row r="30" spans="2:28">
      <c r="B30" s="18">
        <v>390</v>
      </c>
      <c r="C30" s="42" t="s">
        <v>108</v>
      </c>
      <c r="D30" s="5"/>
      <c r="G30" s="5"/>
      <c r="H30" s="54" t="s">
        <v>107</v>
      </c>
      <c r="I30" s="64"/>
      <c r="J30" s="54" t="s">
        <v>107</v>
      </c>
      <c r="K30" s="54"/>
      <c r="L30" s="54" t="s">
        <v>107</v>
      </c>
      <c r="N30" s="54" t="s">
        <v>107</v>
      </c>
      <c r="P30" s="54" t="s">
        <v>107</v>
      </c>
      <c r="Q30" s="5"/>
      <c r="R30" s="79">
        <v>0</v>
      </c>
      <c r="S30" s="5"/>
      <c r="T30" s="70">
        <v>43712</v>
      </c>
      <c r="U30" s="5"/>
      <c r="V30" s="79">
        <f t="shared" ref="V30:V52" si="5">(R30/$V$11)+T30</f>
        <v>43712</v>
      </c>
      <c r="W30" s="78">
        <f>W29/$E29</f>
        <v>0.34851489664736712</v>
      </c>
      <c r="X30" s="18"/>
      <c r="Y30" s="79">
        <f>T30/$F$188</f>
        <v>128564.70588235294</v>
      </c>
      <c r="Z30" s="18"/>
      <c r="AA30" s="115">
        <f>0-Y30</f>
        <v>-128564.70588235294</v>
      </c>
    </row>
    <row r="31" spans="2:28">
      <c r="B31" s="122">
        <v>315</v>
      </c>
      <c r="C31" s="41" t="s">
        <v>110</v>
      </c>
      <c r="D31" s="91"/>
      <c r="E31" s="91"/>
      <c r="F31" s="91"/>
      <c r="G31" s="91"/>
      <c r="H31" s="98" t="s">
        <v>107</v>
      </c>
      <c r="I31" s="98"/>
      <c r="J31" s="98" t="s">
        <v>107</v>
      </c>
      <c r="K31" s="98"/>
      <c r="L31" s="98" t="s">
        <v>107</v>
      </c>
      <c r="M31" s="91"/>
      <c r="N31" s="98" t="s">
        <v>107</v>
      </c>
      <c r="O31" s="91"/>
      <c r="P31" s="98" t="s">
        <v>107</v>
      </c>
      <c r="Q31" s="91"/>
      <c r="R31" s="95">
        <v>0</v>
      </c>
      <c r="S31" s="91"/>
      <c r="T31" s="99">
        <f>368745-T48</f>
        <v>31345</v>
      </c>
      <c r="U31" s="91"/>
      <c r="V31" s="95">
        <f t="shared" si="5"/>
        <v>31345</v>
      </c>
      <c r="W31" s="38"/>
      <c r="X31" s="38"/>
      <c r="Y31" s="95">
        <v>100000</v>
      </c>
      <c r="Z31" s="38"/>
      <c r="AA31" s="116">
        <f>0-Y31</f>
        <v>-100000</v>
      </c>
    </row>
    <row r="32" spans="2:28">
      <c r="B32" s="100">
        <v>310</v>
      </c>
      <c r="C32" s="91" t="s">
        <v>6</v>
      </c>
      <c r="D32" s="91"/>
      <c r="E32" s="91"/>
      <c r="F32" s="91"/>
      <c r="G32" s="91"/>
      <c r="H32" s="92">
        <f>4465000-(SUM(H33:H49))</f>
        <v>1115000</v>
      </c>
      <c r="I32" s="92"/>
      <c r="J32" s="92">
        <f>3023000-(SUM(J33:J49))</f>
        <v>1543000</v>
      </c>
      <c r="K32" s="92">
        <f t="shared" ref="K32:M32" si="6">4465000-(SUM(K33:K49))</f>
        <v>4465000</v>
      </c>
      <c r="L32" s="92">
        <f>2495000-(SUM(L33:L49))</f>
        <v>20000</v>
      </c>
      <c r="M32" s="92">
        <f t="shared" si="6"/>
        <v>4465000</v>
      </c>
      <c r="N32" s="92">
        <f>250000+6000-(SUM(N33:N49))</f>
        <v>256000</v>
      </c>
      <c r="O32" s="91"/>
      <c r="P32" s="92">
        <f>4465000+3023000+2495000+250000+6000-(SUM(P33:P49))</f>
        <v>2934000</v>
      </c>
      <c r="Q32" s="93"/>
      <c r="R32" s="94">
        <v>911190</v>
      </c>
      <c r="S32" s="93"/>
      <c r="T32" s="92">
        <f>3807949+2060+5404+2060-(SUM(T33:T49))+T48</f>
        <v>1368709</v>
      </c>
      <c r="U32" s="93"/>
      <c r="V32" s="95">
        <f t="shared" si="5"/>
        <v>1520574</v>
      </c>
      <c r="W32" s="38"/>
      <c r="X32" s="38"/>
      <c r="Y32" s="95">
        <v>2500000</v>
      </c>
      <c r="Z32" s="38"/>
      <c r="AA32" s="116">
        <f t="shared" ref="AA32:AA52" si="7">P32-Y32</f>
        <v>434000</v>
      </c>
      <c r="AB32" s="79">
        <f>SUM(Y33:Y49)</f>
        <v>7230000</v>
      </c>
    </row>
    <row r="33" spans="2:27">
      <c r="B33" s="100">
        <v>310.02999999999997</v>
      </c>
      <c r="C33" s="101" t="s">
        <v>150</v>
      </c>
      <c r="D33" s="91"/>
      <c r="E33" s="91"/>
      <c r="F33" s="91"/>
      <c r="G33" s="91"/>
      <c r="H33" s="92">
        <v>660000</v>
      </c>
      <c r="I33" s="92"/>
      <c r="J33" s="92">
        <v>0</v>
      </c>
      <c r="K33" s="92"/>
      <c r="L33" s="92">
        <v>0</v>
      </c>
      <c r="M33" s="91"/>
      <c r="N33" s="92">
        <v>0</v>
      </c>
      <c r="O33" s="91"/>
      <c r="P33" s="92">
        <f t="shared" ref="P33:P51" si="8">SUM(H33:N33)</f>
        <v>660000</v>
      </c>
      <c r="Q33" s="93"/>
      <c r="R33" s="94">
        <v>0</v>
      </c>
      <c r="S33" s="93"/>
      <c r="T33" s="92">
        <v>0</v>
      </c>
      <c r="U33" s="93"/>
      <c r="V33" s="95">
        <f t="shared" si="5"/>
        <v>0</v>
      </c>
      <c r="W33" s="38"/>
      <c r="X33" s="38"/>
      <c r="Y33" s="95">
        <v>500000</v>
      </c>
      <c r="Z33" s="38"/>
      <c r="AA33" s="116">
        <f t="shared" si="7"/>
        <v>160000</v>
      </c>
    </row>
    <row r="34" spans="2:27">
      <c r="B34" s="100">
        <v>310.38</v>
      </c>
      <c r="C34" s="101" t="s">
        <v>167</v>
      </c>
      <c r="D34" s="91"/>
      <c r="E34" s="91"/>
      <c r="F34" s="91"/>
      <c r="G34" s="91"/>
      <c r="H34" s="92">
        <v>0</v>
      </c>
      <c r="I34" s="92"/>
      <c r="J34" s="92">
        <v>0</v>
      </c>
      <c r="K34" s="92"/>
      <c r="L34" s="92">
        <v>2300000</v>
      </c>
      <c r="M34" s="91"/>
      <c r="N34" s="92">
        <v>0</v>
      </c>
      <c r="O34" s="91"/>
      <c r="P34" s="92">
        <f t="shared" si="8"/>
        <v>2300000</v>
      </c>
      <c r="Q34" s="93"/>
      <c r="R34" s="94">
        <v>0</v>
      </c>
      <c r="S34" s="93"/>
      <c r="T34" s="92">
        <f>1240500+55900+18720+7500</f>
        <v>1322620</v>
      </c>
      <c r="U34" s="93"/>
      <c r="V34" s="95">
        <f t="shared" si="5"/>
        <v>1322620</v>
      </c>
      <c r="W34" s="38"/>
      <c r="X34" s="38"/>
      <c r="Y34" s="95">
        <v>1600000</v>
      </c>
      <c r="Z34" s="38"/>
      <c r="AA34" s="116">
        <f t="shared" si="7"/>
        <v>700000</v>
      </c>
    </row>
    <row r="35" spans="2:27">
      <c r="B35" s="100">
        <v>310.39</v>
      </c>
      <c r="C35" s="101" t="s">
        <v>168</v>
      </c>
      <c r="D35" s="91"/>
      <c r="E35" s="91"/>
      <c r="F35" s="91"/>
      <c r="G35" s="91"/>
      <c r="H35" s="92">
        <v>0</v>
      </c>
      <c r="I35" s="92"/>
      <c r="J35" s="92">
        <v>0</v>
      </c>
      <c r="K35" s="92"/>
      <c r="L35" s="92">
        <v>175000</v>
      </c>
      <c r="M35" s="91"/>
      <c r="N35" s="92">
        <v>0</v>
      </c>
      <c r="O35" s="91"/>
      <c r="P35" s="92">
        <f t="shared" ref="P35:P36" si="9">SUM(H35:N35)</f>
        <v>175000</v>
      </c>
      <c r="Q35" s="93"/>
      <c r="R35" s="94">
        <v>0</v>
      </c>
      <c r="S35" s="93"/>
      <c r="T35" s="92">
        <v>0</v>
      </c>
      <c r="U35" s="93"/>
      <c r="V35" s="95">
        <f t="shared" si="5"/>
        <v>0</v>
      </c>
      <c r="W35" s="38"/>
      <c r="X35" s="38"/>
      <c r="Y35" s="95">
        <v>0</v>
      </c>
      <c r="Z35" s="38"/>
      <c r="AA35" s="116">
        <f t="shared" si="7"/>
        <v>175000</v>
      </c>
    </row>
    <row r="36" spans="2:27">
      <c r="B36" s="100">
        <v>310.45</v>
      </c>
      <c r="C36" s="101" t="s">
        <v>174</v>
      </c>
      <c r="D36" s="91"/>
      <c r="E36" s="91"/>
      <c r="F36" s="91"/>
      <c r="G36" s="91"/>
      <c r="H36" s="92">
        <v>30000</v>
      </c>
      <c r="I36" s="92"/>
      <c r="J36" s="92">
        <v>30000</v>
      </c>
      <c r="K36" s="92"/>
      <c r="L36" s="92">
        <v>0</v>
      </c>
      <c r="M36" s="91"/>
      <c r="N36" s="92">
        <v>0</v>
      </c>
      <c r="O36" s="91"/>
      <c r="P36" s="92">
        <f t="shared" si="9"/>
        <v>60000</v>
      </c>
      <c r="Q36" s="93"/>
      <c r="R36" s="94">
        <v>0</v>
      </c>
      <c r="S36" s="93"/>
      <c r="T36" s="92">
        <v>0</v>
      </c>
      <c r="U36" s="93"/>
      <c r="V36" s="95">
        <f t="shared" ref="V36" si="10">(R36/$V$11)+T36</f>
        <v>0</v>
      </c>
      <c r="W36" s="38"/>
      <c r="X36" s="38"/>
      <c r="Y36" s="95">
        <v>100000</v>
      </c>
      <c r="Z36" s="38"/>
      <c r="AA36" s="116">
        <f t="shared" si="7"/>
        <v>-40000</v>
      </c>
    </row>
    <row r="37" spans="2:27">
      <c r="B37" s="100">
        <v>310.45999999999998</v>
      </c>
      <c r="C37" s="101" t="s">
        <v>151</v>
      </c>
      <c r="D37" s="91"/>
      <c r="E37" s="91"/>
      <c r="F37" s="91"/>
      <c r="G37" s="91"/>
      <c r="H37" s="92">
        <v>145000</v>
      </c>
      <c r="I37" s="92"/>
      <c r="J37" s="92">
        <v>0</v>
      </c>
      <c r="K37" s="92"/>
      <c r="L37" s="92">
        <v>0</v>
      </c>
      <c r="M37" s="91"/>
      <c r="N37" s="92">
        <v>0</v>
      </c>
      <c r="O37" s="91"/>
      <c r="P37" s="92">
        <f t="shared" si="8"/>
        <v>145000</v>
      </c>
      <c r="Q37" s="93"/>
      <c r="R37" s="94">
        <v>0</v>
      </c>
      <c r="S37" s="93"/>
      <c r="T37" s="92">
        <v>0</v>
      </c>
      <c r="U37" s="93"/>
      <c r="V37" s="95">
        <f t="shared" si="5"/>
        <v>0</v>
      </c>
      <c r="W37" s="38"/>
      <c r="X37" s="38"/>
      <c r="Y37" s="95">
        <v>0</v>
      </c>
      <c r="Z37" s="38"/>
      <c r="AA37" s="116">
        <f t="shared" si="7"/>
        <v>145000</v>
      </c>
    </row>
    <row r="38" spans="2:27">
      <c r="B38" s="100">
        <v>310.47000000000003</v>
      </c>
      <c r="C38" s="101" t="s">
        <v>179</v>
      </c>
      <c r="D38" s="91"/>
      <c r="E38" s="91"/>
      <c r="F38" s="91"/>
      <c r="G38" s="91"/>
      <c r="H38" s="92">
        <v>25000</v>
      </c>
      <c r="I38" s="92"/>
      <c r="J38" s="92">
        <f>25000+25000</f>
        <v>50000</v>
      </c>
      <c r="K38" s="92"/>
      <c r="L38" s="92">
        <v>0</v>
      </c>
      <c r="M38" s="91"/>
      <c r="N38" s="92">
        <v>0</v>
      </c>
      <c r="O38" s="91"/>
      <c r="P38" s="92">
        <f t="shared" ref="P38" si="11">SUM(H38:N38)</f>
        <v>75000</v>
      </c>
      <c r="Q38" s="93"/>
      <c r="R38" s="94">
        <v>0</v>
      </c>
      <c r="S38" s="93"/>
      <c r="T38" s="92">
        <v>53183</v>
      </c>
      <c r="U38" s="93"/>
      <c r="V38" s="95">
        <f t="shared" ref="V38" si="12">(R38/$V$11)+T38</f>
        <v>53183</v>
      </c>
      <c r="W38" s="38"/>
      <c r="X38" s="38"/>
      <c r="Y38" s="95">
        <v>120000</v>
      </c>
      <c r="Z38" s="38"/>
      <c r="AA38" s="116">
        <f t="shared" si="7"/>
        <v>-45000</v>
      </c>
    </row>
    <row r="39" spans="2:27">
      <c r="B39" s="100">
        <v>310.5</v>
      </c>
      <c r="C39" s="101" t="s">
        <v>162</v>
      </c>
      <c r="D39" s="91"/>
      <c r="E39" s="91"/>
      <c r="F39" s="91"/>
      <c r="G39" s="91"/>
      <c r="H39" s="92">
        <v>120000</v>
      </c>
      <c r="I39" s="92"/>
      <c r="J39" s="92">
        <v>0</v>
      </c>
      <c r="K39" s="92"/>
      <c r="L39" s="92">
        <v>0</v>
      </c>
      <c r="M39" s="91"/>
      <c r="N39" s="92">
        <v>0</v>
      </c>
      <c r="O39" s="91"/>
      <c r="P39" s="92">
        <f t="shared" si="8"/>
        <v>120000</v>
      </c>
      <c r="Q39" s="93"/>
      <c r="R39" s="94">
        <v>0</v>
      </c>
      <c r="S39" s="93"/>
      <c r="T39" s="92">
        <v>0</v>
      </c>
      <c r="U39" s="93"/>
      <c r="V39" s="95">
        <f t="shared" si="5"/>
        <v>0</v>
      </c>
      <c r="W39" s="38"/>
      <c r="X39" s="38"/>
      <c r="Y39" s="95">
        <v>160000</v>
      </c>
      <c r="Z39" s="38"/>
      <c r="AA39" s="116">
        <f t="shared" si="7"/>
        <v>-40000</v>
      </c>
    </row>
    <row r="40" spans="2:27">
      <c r="B40" s="100">
        <v>310.51</v>
      </c>
      <c r="C40" s="101" t="s">
        <v>152</v>
      </c>
      <c r="D40" s="91"/>
      <c r="E40" s="91"/>
      <c r="F40" s="91"/>
      <c r="G40" s="91"/>
      <c r="H40" s="92">
        <v>300000</v>
      </c>
      <c r="I40" s="92"/>
      <c r="J40" s="92">
        <v>0</v>
      </c>
      <c r="K40" s="92"/>
      <c r="L40" s="92">
        <v>0</v>
      </c>
      <c r="M40" s="91"/>
      <c r="N40" s="92">
        <v>0</v>
      </c>
      <c r="O40" s="91"/>
      <c r="P40" s="92">
        <f t="shared" si="8"/>
        <v>300000</v>
      </c>
      <c r="Q40" s="93"/>
      <c r="R40" s="94">
        <v>0</v>
      </c>
      <c r="S40" s="93"/>
      <c r="T40" s="92">
        <f>355000+35500</f>
        <v>390500</v>
      </c>
      <c r="U40" s="93"/>
      <c r="V40" s="95">
        <f t="shared" si="5"/>
        <v>390500</v>
      </c>
      <c r="W40" s="38"/>
      <c r="X40" s="38"/>
      <c r="Y40" s="95">
        <v>450000</v>
      </c>
      <c r="Z40" s="38"/>
      <c r="AA40" s="116">
        <f t="shared" si="7"/>
        <v>-150000</v>
      </c>
    </row>
    <row r="41" spans="2:27">
      <c r="B41" s="100">
        <v>310.52999999999997</v>
      </c>
      <c r="C41" s="101" t="s">
        <v>153</v>
      </c>
      <c r="D41" s="91"/>
      <c r="E41" s="91"/>
      <c r="F41" s="91"/>
      <c r="G41" s="91"/>
      <c r="H41" s="92">
        <v>700000</v>
      </c>
      <c r="I41" s="92"/>
      <c r="J41" s="92">
        <v>300000</v>
      </c>
      <c r="K41" s="92"/>
      <c r="L41" s="92">
        <v>0</v>
      </c>
      <c r="M41" s="91"/>
      <c r="N41" s="92">
        <v>0</v>
      </c>
      <c r="O41" s="91"/>
      <c r="P41" s="92">
        <f t="shared" si="8"/>
        <v>1000000</v>
      </c>
      <c r="Q41" s="93"/>
      <c r="R41" s="94">
        <v>0</v>
      </c>
      <c r="S41" s="93"/>
      <c r="T41" s="92">
        <v>0</v>
      </c>
      <c r="U41" s="93"/>
      <c r="V41" s="95">
        <f t="shared" si="5"/>
        <v>0</v>
      </c>
      <c r="W41" s="38"/>
      <c r="X41" s="38"/>
      <c r="Y41" s="95">
        <v>1200000</v>
      </c>
      <c r="Z41" s="38"/>
      <c r="AA41" s="116">
        <f t="shared" si="7"/>
        <v>-200000</v>
      </c>
    </row>
    <row r="42" spans="2:27">
      <c r="B42" s="100">
        <v>310.54000000000002</v>
      </c>
      <c r="C42" s="101" t="s">
        <v>154</v>
      </c>
      <c r="D42" s="91"/>
      <c r="E42" s="91"/>
      <c r="F42" s="91"/>
      <c r="G42" s="91"/>
      <c r="H42" s="92">
        <v>250000</v>
      </c>
      <c r="I42" s="92"/>
      <c r="J42" s="92">
        <v>0</v>
      </c>
      <c r="K42" s="92"/>
      <c r="L42" s="92">
        <v>0</v>
      </c>
      <c r="M42" s="91"/>
      <c r="N42" s="92">
        <v>0</v>
      </c>
      <c r="O42" s="91"/>
      <c r="P42" s="92">
        <f t="shared" si="8"/>
        <v>250000</v>
      </c>
      <c r="Q42" s="93"/>
      <c r="R42" s="94">
        <v>0</v>
      </c>
      <c r="S42" s="93"/>
      <c r="T42" s="92">
        <v>2060</v>
      </c>
      <c r="U42" s="93"/>
      <c r="V42" s="95">
        <f t="shared" si="5"/>
        <v>2060</v>
      </c>
      <c r="W42" s="38"/>
      <c r="X42" s="38"/>
      <c r="Y42" s="95">
        <v>300000</v>
      </c>
      <c r="Z42" s="38"/>
      <c r="AA42" s="116">
        <f t="shared" si="7"/>
        <v>-50000</v>
      </c>
    </row>
    <row r="43" spans="2:27">
      <c r="B43" s="100">
        <v>310.57</v>
      </c>
      <c r="C43" s="101" t="s">
        <v>155</v>
      </c>
      <c r="D43" s="91"/>
      <c r="E43" s="91"/>
      <c r="F43" s="91"/>
      <c r="G43" s="91"/>
      <c r="H43" s="92">
        <v>250000</v>
      </c>
      <c r="I43" s="92"/>
      <c r="J43" s="92">
        <v>650000</v>
      </c>
      <c r="K43" s="92"/>
      <c r="L43" s="92">
        <v>0</v>
      </c>
      <c r="M43" s="91"/>
      <c r="N43" s="92">
        <v>0</v>
      </c>
      <c r="O43" s="91"/>
      <c r="P43" s="92">
        <f t="shared" si="8"/>
        <v>900000</v>
      </c>
      <c r="Q43" s="93"/>
      <c r="R43" s="94">
        <v>0</v>
      </c>
      <c r="S43" s="93"/>
      <c r="T43" s="92">
        <v>5404</v>
      </c>
      <c r="U43" s="93"/>
      <c r="V43" s="95">
        <f t="shared" si="5"/>
        <v>5404</v>
      </c>
      <c r="W43" s="38"/>
      <c r="X43" s="38"/>
      <c r="Y43" s="95">
        <v>1100000</v>
      </c>
      <c r="Z43" s="38"/>
      <c r="AA43" s="116">
        <f t="shared" si="7"/>
        <v>-200000</v>
      </c>
    </row>
    <row r="44" spans="2:27">
      <c r="B44" s="100">
        <v>310.63</v>
      </c>
      <c r="C44" s="101" t="s">
        <v>172</v>
      </c>
      <c r="D44" s="91"/>
      <c r="E44" s="91"/>
      <c r="F44" s="91"/>
      <c r="G44" s="91"/>
      <c r="H44" s="92">
        <v>0</v>
      </c>
      <c r="I44" s="92"/>
      <c r="J44" s="92">
        <v>0</v>
      </c>
      <c r="K44" s="92"/>
      <c r="L44" s="92">
        <v>0</v>
      </c>
      <c r="M44" s="91"/>
      <c r="N44" s="92">
        <v>0</v>
      </c>
      <c r="O44" s="91"/>
      <c r="P44" s="92">
        <f t="shared" ref="P44" si="13">SUM(H44:N44)</f>
        <v>0</v>
      </c>
      <c r="Q44" s="93"/>
      <c r="R44" s="94">
        <v>0</v>
      </c>
      <c r="S44" s="93"/>
      <c r="T44" s="92">
        <f>142940+24960</f>
        <v>167900</v>
      </c>
      <c r="U44" s="93"/>
      <c r="V44" s="95">
        <f t="shared" ref="V44" si="14">(R44/$V$11)+T44</f>
        <v>167900</v>
      </c>
      <c r="W44" s="38"/>
      <c r="X44" s="38"/>
      <c r="Y44" s="95">
        <v>220000</v>
      </c>
      <c r="Z44" s="38"/>
      <c r="AA44" s="116">
        <f t="shared" si="7"/>
        <v>-220000</v>
      </c>
    </row>
    <row r="45" spans="2:27">
      <c r="B45" s="100">
        <v>310.64</v>
      </c>
      <c r="C45" s="101" t="s">
        <v>156</v>
      </c>
      <c r="D45" s="91"/>
      <c r="E45" s="91"/>
      <c r="F45" s="91"/>
      <c r="G45" s="91"/>
      <c r="H45" s="92">
        <v>150000</v>
      </c>
      <c r="I45" s="92"/>
      <c r="J45" s="92">
        <v>150000</v>
      </c>
      <c r="K45" s="92"/>
      <c r="L45" s="92">
        <v>0</v>
      </c>
      <c r="M45" s="91"/>
      <c r="N45" s="92">
        <v>0</v>
      </c>
      <c r="O45" s="91"/>
      <c r="P45" s="92">
        <f t="shared" si="8"/>
        <v>300000</v>
      </c>
      <c r="Q45" s="93"/>
      <c r="R45" s="94">
        <v>0</v>
      </c>
      <c r="S45" s="93"/>
      <c r="T45" s="92">
        <v>365155</v>
      </c>
      <c r="U45" s="93"/>
      <c r="V45" s="95">
        <f t="shared" si="5"/>
        <v>365155</v>
      </c>
      <c r="W45" s="38"/>
      <c r="X45" s="38"/>
      <c r="Y45" s="95">
        <v>420000</v>
      </c>
      <c r="Z45" s="38"/>
      <c r="AA45" s="116">
        <f t="shared" si="7"/>
        <v>-120000</v>
      </c>
    </row>
    <row r="46" spans="2:27">
      <c r="B46" s="100">
        <v>310.64999999999998</v>
      </c>
      <c r="C46" s="101" t="s">
        <v>158</v>
      </c>
      <c r="D46" s="91"/>
      <c r="E46" s="91"/>
      <c r="F46" s="91"/>
      <c r="G46" s="91"/>
      <c r="H46" s="92">
        <v>0</v>
      </c>
      <c r="I46" s="92"/>
      <c r="J46" s="92">
        <v>300000</v>
      </c>
      <c r="K46" s="92"/>
      <c r="L46" s="92">
        <v>0</v>
      </c>
      <c r="M46" s="91"/>
      <c r="N46" s="92">
        <v>0</v>
      </c>
      <c r="O46" s="91"/>
      <c r="P46" s="92">
        <f t="shared" si="8"/>
        <v>300000</v>
      </c>
      <c r="Q46" s="93"/>
      <c r="R46" s="94">
        <v>0</v>
      </c>
      <c r="S46" s="93"/>
      <c r="T46" s="92">
        <v>2060</v>
      </c>
      <c r="U46" s="93"/>
      <c r="V46" s="95">
        <f t="shared" si="5"/>
        <v>2060</v>
      </c>
      <c r="W46" s="38"/>
      <c r="X46" s="38"/>
      <c r="Y46" s="95">
        <v>400000</v>
      </c>
      <c r="Z46" s="38"/>
      <c r="AA46" s="116">
        <f t="shared" si="7"/>
        <v>-100000</v>
      </c>
    </row>
    <row r="47" spans="2:27">
      <c r="B47" s="100">
        <v>310.68</v>
      </c>
      <c r="C47" s="101" t="s">
        <v>173</v>
      </c>
      <c r="D47" s="91"/>
      <c r="E47" s="91"/>
      <c r="F47" s="91"/>
      <c r="G47" s="91"/>
      <c r="H47" s="92">
        <v>0</v>
      </c>
      <c r="I47" s="92"/>
      <c r="J47" s="92">
        <v>0</v>
      </c>
      <c r="K47" s="92"/>
      <c r="L47" s="92">
        <v>0</v>
      </c>
      <c r="M47" s="91"/>
      <c r="N47" s="92">
        <v>0</v>
      </c>
      <c r="O47" s="91"/>
      <c r="P47" s="92">
        <f t="shared" si="8"/>
        <v>0</v>
      </c>
      <c r="Q47" s="93"/>
      <c r="R47" s="94">
        <v>0</v>
      </c>
      <c r="S47" s="93"/>
      <c r="T47" s="92">
        <f>83420+8152</f>
        <v>91572</v>
      </c>
      <c r="U47" s="93"/>
      <c r="V47" s="95">
        <f t="shared" si="5"/>
        <v>91572</v>
      </c>
      <c r="W47" s="38"/>
      <c r="X47" s="38"/>
      <c r="Y47" s="95">
        <v>200000</v>
      </c>
      <c r="Z47" s="38"/>
      <c r="AA47" s="116">
        <f t="shared" si="7"/>
        <v>-200000</v>
      </c>
    </row>
    <row r="48" spans="2:27">
      <c r="B48" s="100">
        <v>310.77999999999997</v>
      </c>
      <c r="C48" s="101" t="s">
        <v>157</v>
      </c>
      <c r="D48" s="91"/>
      <c r="E48" s="91"/>
      <c r="F48" s="91"/>
      <c r="G48" s="91"/>
      <c r="H48" s="92">
        <v>650000</v>
      </c>
      <c r="I48" s="92"/>
      <c r="J48" s="92">
        <v>0</v>
      </c>
      <c r="K48" s="92"/>
      <c r="L48" s="92">
        <v>0</v>
      </c>
      <c r="M48" s="91"/>
      <c r="N48" s="92">
        <v>0</v>
      </c>
      <c r="O48" s="91"/>
      <c r="P48" s="92">
        <f t="shared" si="8"/>
        <v>650000</v>
      </c>
      <c r="Q48" s="93"/>
      <c r="R48" s="94">
        <v>0</v>
      </c>
      <c r="S48" s="93"/>
      <c r="T48" s="92">
        <v>337400</v>
      </c>
      <c r="U48" s="93"/>
      <c r="V48" s="95">
        <f t="shared" si="5"/>
        <v>337400</v>
      </c>
      <c r="W48" s="38"/>
      <c r="X48" s="38"/>
      <c r="Y48" s="95">
        <v>400000</v>
      </c>
      <c r="Z48" s="38"/>
      <c r="AA48" s="116">
        <f t="shared" si="7"/>
        <v>250000</v>
      </c>
    </row>
    <row r="49" spans="2:28">
      <c r="B49" s="100">
        <v>310.87</v>
      </c>
      <c r="C49" s="101" t="s">
        <v>159</v>
      </c>
      <c r="D49" s="91"/>
      <c r="E49" s="91"/>
      <c r="F49" s="91"/>
      <c r="G49" s="91"/>
      <c r="H49" s="92">
        <v>70000</v>
      </c>
      <c r="I49" s="92"/>
      <c r="J49" s="92">
        <v>0</v>
      </c>
      <c r="K49" s="92"/>
      <c r="L49" s="92">
        <v>0</v>
      </c>
      <c r="M49" s="91"/>
      <c r="N49" s="92">
        <v>0</v>
      </c>
      <c r="O49" s="91"/>
      <c r="P49" s="92">
        <f t="shared" si="8"/>
        <v>70000</v>
      </c>
      <c r="Q49" s="93"/>
      <c r="R49" s="94">
        <v>0</v>
      </c>
      <c r="S49" s="93"/>
      <c r="T49" s="92">
        <v>48310</v>
      </c>
      <c r="U49" s="93"/>
      <c r="V49" s="95">
        <f t="shared" si="5"/>
        <v>48310</v>
      </c>
      <c r="W49" s="38"/>
      <c r="X49" s="38"/>
      <c r="Y49" s="95">
        <v>60000</v>
      </c>
      <c r="Z49" s="38"/>
      <c r="AA49" s="116">
        <f t="shared" si="7"/>
        <v>10000</v>
      </c>
    </row>
    <row r="50" spans="2:28">
      <c r="B50" s="41">
        <v>320</v>
      </c>
      <c r="C50" s="91" t="s">
        <v>46</v>
      </c>
      <c r="D50" s="91"/>
      <c r="E50" s="91"/>
      <c r="F50" s="91"/>
      <c r="G50" s="91"/>
      <c r="H50" s="92" t="s">
        <v>0</v>
      </c>
      <c r="I50" s="92"/>
      <c r="J50" s="92">
        <v>140000</v>
      </c>
      <c r="K50" s="92"/>
      <c r="L50" s="92">
        <v>0</v>
      </c>
      <c r="M50" s="91"/>
      <c r="N50" s="92">
        <v>22000</v>
      </c>
      <c r="O50" s="91"/>
      <c r="P50" s="92">
        <f t="shared" si="8"/>
        <v>162000</v>
      </c>
      <c r="Q50" s="93"/>
      <c r="R50" s="94">
        <v>0</v>
      </c>
      <c r="S50" s="93"/>
      <c r="T50" s="92">
        <v>0</v>
      </c>
      <c r="U50" s="93"/>
      <c r="V50" s="95">
        <f t="shared" si="5"/>
        <v>0</v>
      </c>
      <c r="W50" s="38"/>
      <c r="X50" s="38"/>
      <c r="Y50" s="95">
        <v>0</v>
      </c>
      <c r="Z50" s="38"/>
      <c r="AA50" s="116" t="s">
        <v>178</v>
      </c>
    </row>
    <row r="51" spans="2:28">
      <c r="B51" s="41">
        <v>330</v>
      </c>
      <c r="C51" s="91" t="s">
        <v>22</v>
      </c>
      <c r="D51" s="91"/>
      <c r="E51" s="91"/>
      <c r="F51" s="91"/>
      <c r="G51" s="91"/>
      <c r="H51" s="92">
        <v>1154000</v>
      </c>
      <c r="I51" s="92"/>
      <c r="J51" s="92">
        <v>596000</v>
      </c>
      <c r="K51" s="92"/>
      <c r="L51" s="92">
        <v>153000</v>
      </c>
      <c r="M51" s="91"/>
      <c r="N51" s="92">
        <v>9000</v>
      </c>
      <c r="O51" s="91"/>
      <c r="P51" s="92">
        <f t="shared" si="8"/>
        <v>1912000</v>
      </c>
      <c r="Q51" s="93"/>
      <c r="R51" s="94">
        <v>0</v>
      </c>
      <c r="S51" s="93"/>
      <c r="T51" s="92">
        <v>0</v>
      </c>
      <c r="U51" s="93"/>
      <c r="V51" s="95">
        <f t="shared" si="5"/>
        <v>0</v>
      </c>
      <c r="W51" s="38"/>
      <c r="X51" s="38"/>
      <c r="Y51" s="95">
        <v>0</v>
      </c>
      <c r="Z51" s="38"/>
      <c r="AA51" s="116" t="s">
        <v>178</v>
      </c>
    </row>
    <row r="52" spans="2:28">
      <c r="B52" s="39">
        <v>340</v>
      </c>
      <c r="C52" s="6" t="s">
        <v>47</v>
      </c>
      <c r="G52" s="5"/>
      <c r="H52" s="33">
        <v>600000</v>
      </c>
      <c r="I52" s="29"/>
      <c r="J52" s="33">
        <v>425000</v>
      </c>
      <c r="K52" s="29"/>
      <c r="L52" s="33">
        <v>320000</v>
      </c>
      <c r="N52" s="33">
        <v>22000</v>
      </c>
      <c r="P52" s="33">
        <f>SUM(H52:N52)</f>
        <v>1367000</v>
      </c>
      <c r="Q52" s="23"/>
      <c r="R52" s="81">
        <v>0</v>
      </c>
      <c r="S52" s="23"/>
      <c r="T52" s="33">
        <v>18560</v>
      </c>
      <c r="U52" s="23"/>
      <c r="V52" s="88">
        <f t="shared" si="5"/>
        <v>18560</v>
      </c>
      <c r="W52" s="18"/>
      <c r="X52" s="18"/>
      <c r="Y52" s="88">
        <v>1200000</v>
      </c>
      <c r="Z52" s="18"/>
      <c r="AA52" s="116">
        <f t="shared" si="7"/>
        <v>167000</v>
      </c>
    </row>
    <row r="53" spans="2:28">
      <c r="G53" s="5"/>
      <c r="H53" s="52">
        <f>SUM(H32:H52)</f>
        <v>6219000</v>
      </c>
      <c r="I53" s="52"/>
      <c r="J53" s="52">
        <f>SUM(J32:J52)</f>
        <v>4184000</v>
      </c>
      <c r="K53" s="52"/>
      <c r="L53" s="52">
        <f>SUM(L32:L52)</f>
        <v>2968000</v>
      </c>
      <c r="N53" s="52">
        <f>SUM(N32:N52)</f>
        <v>309000</v>
      </c>
      <c r="P53" s="57">
        <f>SUM(H53:N53)</f>
        <v>13680000</v>
      </c>
      <c r="Q53" s="5"/>
      <c r="R53" s="82">
        <f>SUM(R30:R52)</f>
        <v>911190</v>
      </c>
      <c r="S53" s="5"/>
      <c r="T53" s="52">
        <f>SUM(T30:T52)</f>
        <v>4248490</v>
      </c>
      <c r="U53" s="5"/>
      <c r="V53" s="52">
        <f>SUM(V30:V52)</f>
        <v>4400355</v>
      </c>
      <c r="W53" s="18"/>
      <c r="X53" s="18"/>
      <c r="Y53" s="52">
        <f>SUM(Y30:Y52)</f>
        <v>11158564.705882352</v>
      </c>
      <c r="Z53" s="18"/>
      <c r="AA53" s="127">
        <f>SUM(AA30:AA52)</f>
        <v>447435.29411764699</v>
      </c>
      <c r="AB53" s="115" t="s">
        <v>0</v>
      </c>
    </row>
    <row r="54" spans="2:28">
      <c r="G54" s="5"/>
      <c r="H54" s="29"/>
      <c r="I54" s="29"/>
      <c r="J54" s="29"/>
      <c r="K54" s="29"/>
      <c r="L54" s="29"/>
      <c r="N54" s="29"/>
      <c r="P54" s="29"/>
      <c r="Q54" s="5"/>
      <c r="R54" s="82"/>
      <c r="S54" s="5"/>
      <c r="T54" s="29"/>
      <c r="U54" s="5"/>
      <c r="V54" s="29"/>
      <c r="W54" s="18"/>
      <c r="X54" s="18"/>
      <c r="Y54" s="29"/>
      <c r="Z54" s="18"/>
      <c r="AA54" s="29"/>
    </row>
    <row r="55" spans="2:28">
      <c r="B55" s="35" t="s">
        <v>53</v>
      </c>
      <c r="C55" s="40"/>
      <c r="D55" s="14"/>
      <c r="G55" s="5"/>
      <c r="H55" s="29"/>
      <c r="I55" s="29"/>
      <c r="J55" s="29"/>
      <c r="K55" s="29"/>
      <c r="L55" s="29"/>
      <c r="N55" s="29"/>
      <c r="P55" s="29"/>
      <c r="Q55" s="5"/>
      <c r="R55" s="82"/>
      <c r="S55" s="5"/>
      <c r="T55" s="29"/>
      <c r="U55" s="5"/>
      <c r="V55" s="29"/>
      <c r="W55" s="18"/>
      <c r="X55" s="18"/>
      <c r="Y55" s="29"/>
      <c r="Z55" s="18"/>
      <c r="AA55" s="29"/>
    </row>
    <row r="56" spans="2:28">
      <c r="B56" s="18">
        <v>490</v>
      </c>
      <c r="C56" s="42" t="s">
        <v>108</v>
      </c>
      <c r="D56" s="5"/>
      <c r="G56" s="5"/>
      <c r="H56" s="29" t="s">
        <v>107</v>
      </c>
      <c r="I56" s="29"/>
      <c r="J56" s="29" t="s">
        <v>107</v>
      </c>
      <c r="K56" s="29"/>
      <c r="L56" s="29" t="s">
        <v>107</v>
      </c>
      <c r="N56" s="29" t="s">
        <v>107</v>
      </c>
      <c r="P56" s="29" t="s">
        <v>107</v>
      </c>
      <c r="Q56" s="5"/>
      <c r="R56" s="82">
        <v>0</v>
      </c>
      <c r="S56" s="5"/>
      <c r="T56" s="29">
        <v>34457</v>
      </c>
      <c r="U56" s="5"/>
      <c r="V56" s="79">
        <f t="shared" ref="V56:V71" si="15">(R56/$V$11)+T56</f>
        <v>34457</v>
      </c>
      <c r="W56" s="18"/>
      <c r="X56" s="18"/>
      <c r="Y56" s="79">
        <f>T56/$F$188</f>
        <v>101344.11764705881</v>
      </c>
      <c r="Z56" s="18"/>
      <c r="AA56" s="115">
        <f>0-Y56</f>
        <v>-101344.11764705881</v>
      </c>
    </row>
    <row r="57" spans="2:28">
      <c r="B57" s="100">
        <v>410</v>
      </c>
      <c r="C57" s="91" t="s">
        <v>7</v>
      </c>
      <c r="D57" s="91"/>
      <c r="E57" s="91"/>
      <c r="F57" s="91"/>
      <c r="G57" s="91"/>
      <c r="H57" s="92">
        <f>1253000-(SUM(H58:H62))</f>
        <v>898000</v>
      </c>
      <c r="I57" s="92"/>
      <c r="J57" s="92">
        <f>559000-(SUM(J58:J62))</f>
        <v>376000</v>
      </c>
      <c r="K57" s="92">
        <f t="shared" ref="K57:O57" si="16">1253000-(SUM(K58:K62))</f>
        <v>1253000</v>
      </c>
      <c r="L57" s="92">
        <f>800000-(SUM(L58:L62))</f>
        <v>165000</v>
      </c>
      <c r="M57" s="92">
        <f t="shared" si="16"/>
        <v>1253000</v>
      </c>
      <c r="N57" s="92">
        <f>110000-(SUM(N58:N62))</f>
        <v>110000</v>
      </c>
      <c r="O57" s="92">
        <f t="shared" si="16"/>
        <v>1253000</v>
      </c>
      <c r="P57" s="92">
        <f>1253000+559000+800000+110000-(SUM(P58:P62))</f>
        <v>1549000</v>
      </c>
      <c r="Q57" s="93"/>
      <c r="R57" s="94">
        <v>0</v>
      </c>
      <c r="S57" s="93"/>
      <c r="T57" s="92">
        <f>224626-(SUM(T58:T62))</f>
        <v>-748573</v>
      </c>
      <c r="U57" s="93"/>
      <c r="V57" s="99">
        <f t="shared" si="15"/>
        <v>-748573</v>
      </c>
      <c r="W57" s="38"/>
      <c r="X57" s="38"/>
      <c r="Y57" s="95">
        <v>1000000</v>
      </c>
      <c r="Z57" s="38"/>
      <c r="AA57" s="116">
        <f t="shared" ref="AA57:AA70" si="17">P57-Y57</f>
        <v>549000</v>
      </c>
      <c r="AB57" s="79">
        <f>SUM(Y58:Y62)</f>
        <v>1230000</v>
      </c>
    </row>
    <row r="58" spans="2:28">
      <c r="B58" s="100">
        <v>410.11</v>
      </c>
      <c r="C58" s="91" t="s">
        <v>160</v>
      </c>
      <c r="D58" s="91"/>
      <c r="E58" s="91"/>
      <c r="F58" s="91"/>
      <c r="G58" s="91"/>
      <c r="H58" s="92">
        <v>135000</v>
      </c>
      <c r="I58" s="92"/>
      <c r="J58" s="92">
        <v>135000</v>
      </c>
      <c r="K58" s="92"/>
      <c r="L58" s="92">
        <v>0</v>
      </c>
      <c r="M58" s="91"/>
      <c r="N58" s="92">
        <v>0</v>
      </c>
      <c r="O58" s="91"/>
      <c r="P58" s="92">
        <f t="shared" ref="P58:P70" si="18">SUM(H58:N58)</f>
        <v>270000</v>
      </c>
      <c r="Q58" s="93"/>
      <c r="R58" s="94">
        <v>0</v>
      </c>
      <c r="S58" s="93"/>
      <c r="T58" s="92">
        <v>604504</v>
      </c>
      <c r="U58" s="93"/>
      <c r="V58" s="95">
        <f t="shared" si="15"/>
        <v>604504</v>
      </c>
      <c r="W58" s="38"/>
      <c r="X58" s="38"/>
      <c r="Y58" s="95">
        <v>750000</v>
      </c>
      <c r="Z58" s="38"/>
      <c r="AA58" s="116">
        <f t="shared" si="17"/>
        <v>-480000</v>
      </c>
    </row>
    <row r="59" spans="2:28">
      <c r="B59" s="100">
        <v>410.12</v>
      </c>
      <c r="C59" s="91" t="s">
        <v>169</v>
      </c>
      <c r="D59" s="91"/>
      <c r="E59" s="91"/>
      <c r="F59" s="91"/>
      <c r="G59" s="91"/>
      <c r="H59" s="92">
        <v>0</v>
      </c>
      <c r="I59" s="92"/>
      <c r="J59" s="92">
        <v>0</v>
      </c>
      <c r="K59" s="92"/>
      <c r="L59" s="92">
        <v>360000</v>
      </c>
      <c r="M59" s="91"/>
      <c r="N59" s="92">
        <v>0</v>
      </c>
      <c r="O59" s="91"/>
      <c r="P59" s="92">
        <f t="shared" ref="P59" si="19">SUM(H59:N59)</f>
        <v>360000</v>
      </c>
      <c r="Q59" s="93"/>
      <c r="R59" s="94">
        <v>0</v>
      </c>
      <c r="S59" s="93"/>
      <c r="T59" s="92">
        <v>155159</v>
      </c>
      <c r="U59" s="93"/>
      <c r="V59" s="95">
        <f t="shared" ref="V59" si="20">(R59/$V$11)+T59</f>
        <v>155159</v>
      </c>
      <c r="W59" s="38"/>
      <c r="X59" s="38"/>
      <c r="Y59" s="95">
        <v>200000</v>
      </c>
      <c r="Z59" s="38"/>
      <c r="AA59" s="116">
        <f t="shared" si="17"/>
        <v>160000</v>
      </c>
    </row>
    <row r="60" spans="2:28">
      <c r="B60" s="100">
        <v>410.2</v>
      </c>
      <c r="C60" s="91" t="s">
        <v>170</v>
      </c>
      <c r="D60" s="91"/>
      <c r="E60" s="91"/>
      <c r="F60" s="91"/>
      <c r="G60" s="91"/>
      <c r="H60" s="92">
        <v>0</v>
      </c>
      <c r="I60" s="92"/>
      <c r="J60" s="92">
        <v>0</v>
      </c>
      <c r="K60" s="92"/>
      <c r="L60" s="92">
        <v>125000</v>
      </c>
      <c r="M60" s="91"/>
      <c r="N60" s="92">
        <v>0</v>
      </c>
      <c r="O60" s="91"/>
      <c r="P60" s="92">
        <f t="shared" ref="P60" si="21">SUM(H60:N60)</f>
        <v>125000</v>
      </c>
      <c r="Q60" s="93"/>
      <c r="R60" s="94">
        <v>0</v>
      </c>
      <c r="S60" s="93"/>
      <c r="T60" s="92">
        <v>56000</v>
      </c>
      <c r="U60" s="93"/>
      <c r="V60" s="95">
        <f t="shared" ref="V60" si="22">(R60/$V$11)+T60</f>
        <v>56000</v>
      </c>
      <c r="W60" s="38"/>
      <c r="X60" s="38"/>
      <c r="Y60" s="95">
        <v>80000</v>
      </c>
      <c r="Z60" s="38"/>
      <c r="AA60" s="116">
        <f t="shared" si="17"/>
        <v>45000</v>
      </c>
    </row>
    <row r="61" spans="2:28">
      <c r="B61" s="100">
        <v>410.33</v>
      </c>
      <c r="C61" s="91" t="s">
        <v>171</v>
      </c>
      <c r="D61" s="91"/>
      <c r="E61" s="91"/>
      <c r="F61" s="91"/>
      <c r="G61" s="91"/>
      <c r="H61" s="92">
        <v>0</v>
      </c>
      <c r="I61" s="92"/>
      <c r="J61" s="92">
        <v>0</v>
      </c>
      <c r="K61" s="92"/>
      <c r="L61" s="92">
        <v>95000</v>
      </c>
      <c r="M61" s="91"/>
      <c r="N61" s="92">
        <v>0</v>
      </c>
      <c r="O61" s="91"/>
      <c r="P61" s="92">
        <f t="shared" ref="P61" si="23">SUM(H61:N61)</f>
        <v>95000</v>
      </c>
      <c r="Q61" s="93"/>
      <c r="R61" s="94">
        <v>0</v>
      </c>
      <c r="S61" s="93"/>
      <c r="T61" s="92">
        <v>106808</v>
      </c>
      <c r="U61" s="93"/>
      <c r="V61" s="95">
        <f t="shared" ref="V61" si="24">(R61/$V$11)+T61</f>
        <v>106808</v>
      </c>
      <c r="W61" s="38"/>
      <c r="X61" s="38"/>
      <c r="Y61" s="95">
        <v>120000</v>
      </c>
      <c r="Z61" s="38"/>
      <c r="AA61" s="116">
        <f t="shared" si="17"/>
        <v>-25000</v>
      </c>
    </row>
    <row r="62" spans="2:28">
      <c r="B62" s="100">
        <v>410.34</v>
      </c>
      <c r="C62" s="101" t="s">
        <v>161</v>
      </c>
      <c r="D62" s="91"/>
      <c r="E62" s="91"/>
      <c r="F62" s="91"/>
      <c r="G62" s="91"/>
      <c r="H62" s="92">
        <v>220000</v>
      </c>
      <c r="I62" s="92"/>
      <c r="J62" s="92">
        <v>48000</v>
      </c>
      <c r="K62" s="92"/>
      <c r="L62" s="92">
        <v>55000</v>
      </c>
      <c r="M62" s="91"/>
      <c r="N62" s="92">
        <v>0</v>
      </c>
      <c r="O62" s="91"/>
      <c r="P62" s="92">
        <f t="shared" si="18"/>
        <v>323000</v>
      </c>
      <c r="Q62" s="93"/>
      <c r="R62" s="94">
        <v>0</v>
      </c>
      <c r="S62" s="93"/>
      <c r="T62" s="92">
        <v>50728</v>
      </c>
      <c r="U62" s="93"/>
      <c r="V62" s="95">
        <f t="shared" si="15"/>
        <v>50728</v>
      </c>
      <c r="W62" s="38"/>
      <c r="X62" s="38"/>
      <c r="Y62" s="95">
        <v>80000</v>
      </c>
      <c r="Z62" s="38"/>
      <c r="AA62" s="116">
        <f t="shared" si="17"/>
        <v>243000</v>
      </c>
    </row>
    <row r="63" spans="2:28">
      <c r="B63" s="100">
        <v>420</v>
      </c>
      <c r="C63" s="91" t="s">
        <v>8</v>
      </c>
      <c r="D63" s="91"/>
      <c r="E63" s="91"/>
      <c r="F63" s="91"/>
      <c r="G63" s="91"/>
      <c r="H63" s="92">
        <f>2240000-(SUM(H64:H67))</f>
        <v>540000</v>
      </c>
      <c r="I63" s="92"/>
      <c r="J63" s="92">
        <f>2254778-800000-100000-75000-500000-(SUM(J64:J67))</f>
        <v>239778</v>
      </c>
      <c r="K63" s="92">
        <f t="shared" ref="K63:O63" si="25">2240000-(SUM(K64:K67))</f>
        <v>2240000</v>
      </c>
      <c r="L63" s="92">
        <f>0-(SUM(L64:L67))</f>
        <v>0</v>
      </c>
      <c r="M63" s="92">
        <f t="shared" si="25"/>
        <v>2240000</v>
      </c>
      <c r="N63" s="92">
        <f>0-(SUM(N64:N67))</f>
        <v>0</v>
      </c>
      <c r="O63" s="92">
        <f t="shared" si="25"/>
        <v>2240000</v>
      </c>
      <c r="P63" s="92">
        <f>2240000+2254778-800000-100000-75000-500000-(SUM(P64:P67))</f>
        <v>779778</v>
      </c>
      <c r="Q63" s="93"/>
      <c r="R63" s="94">
        <v>0</v>
      </c>
      <c r="S63" s="93"/>
      <c r="T63" s="92">
        <f>2087744-(SUM(T64:T67))</f>
        <v>379760</v>
      </c>
      <c r="U63" s="93"/>
      <c r="V63" s="95">
        <f t="shared" si="15"/>
        <v>379760</v>
      </c>
      <c r="W63" s="38"/>
      <c r="X63" s="38"/>
      <c r="Y63" s="95">
        <v>900000</v>
      </c>
      <c r="Z63" s="38"/>
      <c r="AA63" s="116">
        <f t="shared" si="17"/>
        <v>-120222</v>
      </c>
      <c r="AB63" s="79">
        <f>SUM(Y64:Y67)</f>
        <v>2025000</v>
      </c>
    </row>
    <row r="64" spans="2:28">
      <c r="B64" s="100">
        <v>420.02</v>
      </c>
      <c r="C64" s="91" t="s">
        <v>163</v>
      </c>
      <c r="D64" s="91"/>
      <c r="E64" s="91"/>
      <c r="F64" s="91"/>
      <c r="G64" s="91"/>
      <c r="H64" s="92">
        <v>1400000</v>
      </c>
      <c r="I64" s="92"/>
      <c r="J64" s="92">
        <v>450000</v>
      </c>
      <c r="K64" s="92"/>
      <c r="L64" s="92">
        <v>0</v>
      </c>
      <c r="M64" s="91"/>
      <c r="N64" s="92">
        <v>0</v>
      </c>
      <c r="O64" s="91"/>
      <c r="P64" s="92">
        <f t="shared" si="18"/>
        <v>1850000</v>
      </c>
      <c r="Q64" s="93"/>
      <c r="R64" s="94">
        <v>0</v>
      </c>
      <c r="S64" s="93"/>
      <c r="T64" s="92">
        <f>900600+455300</f>
        <v>1355900</v>
      </c>
      <c r="U64" s="93"/>
      <c r="V64" s="95">
        <f t="shared" si="15"/>
        <v>1355900</v>
      </c>
      <c r="W64" s="38"/>
      <c r="X64" s="38"/>
      <c r="Y64" s="95">
        <v>1600000</v>
      </c>
      <c r="Z64" s="38"/>
      <c r="AA64" s="116">
        <f t="shared" si="17"/>
        <v>250000</v>
      </c>
    </row>
    <row r="65" spans="2:28">
      <c r="B65" s="100">
        <v>420.03</v>
      </c>
      <c r="C65" s="91" t="s">
        <v>164</v>
      </c>
      <c r="D65" s="91"/>
      <c r="E65" s="91"/>
      <c r="F65" s="91"/>
      <c r="G65" s="91"/>
      <c r="H65" s="92">
        <v>110000</v>
      </c>
      <c r="I65" s="92"/>
      <c r="J65" s="92">
        <v>52500</v>
      </c>
      <c r="K65" s="92"/>
      <c r="L65" s="92">
        <v>0</v>
      </c>
      <c r="M65" s="91"/>
      <c r="N65" s="92">
        <v>0</v>
      </c>
      <c r="O65" s="91"/>
      <c r="P65" s="92">
        <f t="shared" si="18"/>
        <v>162500</v>
      </c>
      <c r="Q65" s="93"/>
      <c r="R65" s="94">
        <v>0</v>
      </c>
      <c r="S65" s="93"/>
      <c r="T65" s="92">
        <f>105000+92000+46000+6500</f>
        <v>249500</v>
      </c>
      <c r="U65" s="93"/>
      <c r="V65" s="95">
        <f t="shared" si="15"/>
        <v>249500</v>
      </c>
      <c r="W65" s="38"/>
      <c r="X65" s="38"/>
      <c r="Y65" s="95">
        <v>300000</v>
      </c>
      <c r="Z65" s="38"/>
      <c r="AA65" s="116">
        <f t="shared" si="17"/>
        <v>-137500</v>
      </c>
    </row>
    <row r="66" spans="2:28">
      <c r="B66" s="100">
        <v>420.04</v>
      </c>
      <c r="C66" s="91" t="s">
        <v>165</v>
      </c>
      <c r="D66" s="91"/>
      <c r="E66" s="91"/>
      <c r="F66" s="91"/>
      <c r="G66" s="91"/>
      <c r="H66" s="92">
        <v>90000</v>
      </c>
      <c r="I66" s="92"/>
      <c r="J66" s="92">
        <v>7500</v>
      </c>
      <c r="K66" s="92"/>
      <c r="L66" s="92">
        <v>0</v>
      </c>
      <c r="M66" s="91"/>
      <c r="N66" s="92">
        <v>0</v>
      </c>
      <c r="O66" s="91"/>
      <c r="P66" s="92">
        <f t="shared" si="18"/>
        <v>97500</v>
      </c>
      <c r="Q66" s="93"/>
      <c r="R66" s="94">
        <v>0</v>
      </c>
      <c r="S66" s="93"/>
      <c r="T66" s="92">
        <v>0</v>
      </c>
      <c r="U66" s="93"/>
      <c r="V66" s="95">
        <f t="shared" si="15"/>
        <v>0</v>
      </c>
      <c r="W66" s="38"/>
      <c r="X66" s="38"/>
      <c r="Y66" s="95">
        <v>0</v>
      </c>
      <c r="Z66" s="38"/>
      <c r="AA66" s="116">
        <f t="shared" si="17"/>
        <v>97500</v>
      </c>
    </row>
    <row r="67" spans="2:28">
      <c r="B67" s="100">
        <v>420.08</v>
      </c>
      <c r="C67" s="91" t="s">
        <v>166</v>
      </c>
      <c r="D67" s="91"/>
      <c r="E67" s="91"/>
      <c r="F67" s="91"/>
      <c r="G67" s="91"/>
      <c r="H67" s="92">
        <v>100000</v>
      </c>
      <c r="I67" s="92"/>
      <c r="J67" s="92">
        <v>30000</v>
      </c>
      <c r="K67" s="92"/>
      <c r="L67" s="92">
        <v>0</v>
      </c>
      <c r="M67" s="91"/>
      <c r="N67" s="92">
        <v>0</v>
      </c>
      <c r="O67" s="91"/>
      <c r="P67" s="92">
        <f t="shared" si="18"/>
        <v>130000</v>
      </c>
      <c r="Q67" s="93"/>
      <c r="R67" s="94">
        <v>0</v>
      </c>
      <c r="S67" s="93"/>
      <c r="T67" s="92">
        <v>102584</v>
      </c>
      <c r="U67" s="93"/>
      <c r="V67" s="95">
        <f t="shared" si="15"/>
        <v>102584</v>
      </c>
      <c r="W67" s="38"/>
      <c r="X67" s="38"/>
      <c r="Y67" s="95">
        <v>125000</v>
      </c>
      <c r="Z67" s="38"/>
      <c r="AA67" s="116">
        <f t="shared" si="17"/>
        <v>5000</v>
      </c>
    </row>
    <row r="68" spans="2:28">
      <c r="B68" s="41">
        <v>430</v>
      </c>
      <c r="C68" s="91" t="s">
        <v>23</v>
      </c>
      <c r="D68" s="91"/>
      <c r="E68" s="91"/>
      <c r="F68" s="91"/>
      <c r="G68" s="91"/>
      <c r="H68" s="92">
        <v>1279000</v>
      </c>
      <c r="I68" s="92"/>
      <c r="J68" s="92">
        <v>540000</v>
      </c>
      <c r="K68" s="92"/>
      <c r="L68" s="92">
        <v>284000</v>
      </c>
      <c r="M68" s="91"/>
      <c r="N68" s="92">
        <v>7000</v>
      </c>
      <c r="O68" s="91"/>
      <c r="P68" s="92">
        <f t="shared" si="18"/>
        <v>2110000</v>
      </c>
      <c r="Q68" s="93"/>
      <c r="R68" s="94">
        <v>1045598</v>
      </c>
      <c r="S68" s="93"/>
      <c r="T68" s="92">
        <v>0</v>
      </c>
      <c r="U68" s="93"/>
      <c r="V68" s="95">
        <f t="shared" si="15"/>
        <v>174266.33333333334</v>
      </c>
      <c r="W68" s="38"/>
      <c r="X68" s="38"/>
      <c r="Y68" s="95">
        <v>0</v>
      </c>
      <c r="Z68" s="38"/>
      <c r="AA68" s="116" t="s">
        <v>178</v>
      </c>
    </row>
    <row r="69" spans="2:28">
      <c r="B69" s="41">
        <v>440</v>
      </c>
      <c r="C69" s="91" t="s">
        <v>24</v>
      </c>
      <c r="D69" s="91"/>
      <c r="E69" s="91"/>
      <c r="F69" s="91"/>
      <c r="G69" s="91"/>
      <c r="H69" s="92">
        <v>561000</v>
      </c>
      <c r="I69" s="92"/>
      <c r="J69" s="92">
        <v>500000</v>
      </c>
      <c r="K69" s="92"/>
      <c r="L69" s="92">
        <v>0</v>
      </c>
      <c r="M69" s="91"/>
      <c r="N69" s="92">
        <v>0</v>
      </c>
      <c r="O69" s="91"/>
      <c r="P69" s="92">
        <f t="shared" si="18"/>
        <v>1061000</v>
      </c>
      <c r="Q69" s="93"/>
      <c r="R69" s="94">
        <v>0</v>
      </c>
      <c r="S69" s="93"/>
      <c r="T69" s="92">
        <v>14600</v>
      </c>
      <c r="U69" s="93"/>
      <c r="V69" s="95">
        <f t="shared" si="15"/>
        <v>14600</v>
      </c>
      <c r="W69" s="38"/>
      <c r="X69" s="38"/>
      <c r="Y69" s="95">
        <v>60000</v>
      </c>
      <c r="Z69" s="38"/>
      <c r="AA69" s="116">
        <f>0-Y69</f>
        <v>-60000</v>
      </c>
    </row>
    <row r="70" spans="2:28">
      <c r="B70" s="41">
        <v>450</v>
      </c>
      <c r="C70" s="91" t="s">
        <v>48</v>
      </c>
      <c r="D70" s="91"/>
      <c r="E70" s="91"/>
      <c r="F70" s="91"/>
      <c r="G70" s="91"/>
      <c r="H70" s="92">
        <v>700000</v>
      </c>
      <c r="I70" s="92"/>
      <c r="J70" s="92">
        <v>445000</v>
      </c>
      <c r="K70" s="92"/>
      <c r="L70" s="92">
        <v>290000</v>
      </c>
      <c r="M70" s="91"/>
      <c r="N70" s="92">
        <v>15000</v>
      </c>
      <c r="O70" s="91"/>
      <c r="P70" s="92">
        <f t="shared" si="18"/>
        <v>1450000</v>
      </c>
      <c r="Q70" s="93"/>
      <c r="R70" s="94">
        <v>0</v>
      </c>
      <c r="S70" s="93"/>
      <c r="T70" s="92">
        <v>666709</v>
      </c>
      <c r="U70" s="93"/>
      <c r="V70" s="95">
        <f t="shared" si="15"/>
        <v>666709</v>
      </c>
      <c r="W70" s="38"/>
      <c r="X70" s="38"/>
      <c r="Y70" s="95">
        <v>1200000</v>
      </c>
      <c r="Z70" s="38"/>
      <c r="AA70" s="116">
        <f t="shared" si="17"/>
        <v>250000</v>
      </c>
    </row>
    <row r="71" spans="2:28">
      <c r="B71" s="44">
        <v>460</v>
      </c>
      <c r="C71" s="45" t="s">
        <v>49</v>
      </c>
      <c r="D71" s="45"/>
      <c r="E71" s="45"/>
      <c r="G71" s="5"/>
      <c r="H71" s="33">
        <v>943000</v>
      </c>
      <c r="I71" s="29"/>
      <c r="J71" s="33">
        <v>608000</v>
      </c>
      <c r="K71" s="29"/>
      <c r="L71" s="33">
        <v>419000</v>
      </c>
      <c r="N71" s="33">
        <v>24000</v>
      </c>
      <c r="P71" s="33">
        <f>SUM(H71:N71)</f>
        <v>1994000</v>
      </c>
      <c r="Q71" s="23"/>
      <c r="R71" s="81">
        <v>0</v>
      </c>
      <c r="S71" s="23"/>
      <c r="T71" s="33">
        <v>0</v>
      </c>
      <c r="U71" s="23"/>
      <c r="V71" s="88">
        <f t="shared" si="15"/>
        <v>0</v>
      </c>
      <c r="W71" s="18"/>
      <c r="X71" s="18"/>
      <c r="Y71" s="88">
        <v>0</v>
      </c>
      <c r="Z71" s="18"/>
      <c r="AA71" s="116" t="s">
        <v>178</v>
      </c>
    </row>
    <row r="72" spans="2:28">
      <c r="G72" s="5"/>
      <c r="H72" s="52">
        <f>SUM(H57:H71)</f>
        <v>6976000</v>
      </c>
      <c r="I72" s="52"/>
      <c r="J72" s="52">
        <f>SUM(J57:J71)</f>
        <v>3431778</v>
      </c>
      <c r="K72" s="52"/>
      <c r="L72" s="52">
        <f>SUM(L57:L71)</f>
        <v>1793000</v>
      </c>
      <c r="N72" s="52">
        <f>SUM(N57:N71)</f>
        <v>156000</v>
      </c>
      <c r="P72" s="57">
        <f>SUM(H72:N72)</f>
        <v>12356778</v>
      </c>
      <c r="Q72" s="5"/>
      <c r="R72" s="82">
        <f>SUM(R56:R71)</f>
        <v>1045598</v>
      </c>
      <c r="S72" s="5"/>
      <c r="T72" s="52">
        <f>SUM(T56:T71)</f>
        <v>3028136</v>
      </c>
      <c r="U72" s="5"/>
      <c r="V72" s="52">
        <f>SUM(V56:V71)</f>
        <v>3202402.3333333335</v>
      </c>
      <c r="W72" s="18"/>
      <c r="X72" s="18"/>
      <c r="Y72" s="52">
        <f>SUM(Y56:Y71)</f>
        <v>6516344.1176470593</v>
      </c>
      <c r="Z72" s="18"/>
      <c r="AA72" s="127">
        <f>SUM(AA56:AA71)</f>
        <v>675433.8823529412</v>
      </c>
      <c r="AB72" s="115" t="s">
        <v>0</v>
      </c>
    </row>
    <row r="73" spans="2:28">
      <c r="G73" s="5"/>
      <c r="H73" s="52"/>
      <c r="I73" s="52"/>
      <c r="J73" s="52"/>
      <c r="K73" s="52"/>
      <c r="L73" s="52"/>
      <c r="N73" s="52"/>
      <c r="P73" s="52"/>
      <c r="Q73" s="5"/>
      <c r="R73" s="82"/>
      <c r="S73" s="5"/>
      <c r="T73" s="52"/>
      <c r="U73" s="5"/>
      <c r="V73" s="52"/>
      <c r="W73" s="18"/>
      <c r="X73" s="18"/>
      <c r="Y73" s="52"/>
      <c r="Z73" s="18"/>
      <c r="AA73" s="52"/>
    </row>
    <row r="74" spans="2:28">
      <c r="B74" s="35" t="s">
        <v>54</v>
      </c>
      <c r="C74" s="40"/>
      <c r="D74" s="14"/>
      <c r="G74" s="5"/>
      <c r="H74" s="29"/>
      <c r="I74" s="29"/>
      <c r="J74" s="29"/>
      <c r="K74" s="29"/>
      <c r="L74" s="29"/>
      <c r="N74" s="29"/>
      <c r="P74" s="29"/>
      <c r="Q74" s="5"/>
      <c r="R74" s="82"/>
      <c r="S74" s="5"/>
      <c r="T74" s="29"/>
      <c r="U74" s="5"/>
      <c r="V74" s="29"/>
      <c r="W74" s="18"/>
      <c r="X74" s="18"/>
      <c r="Y74" s="29"/>
      <c r="Z74" s="18"/>
      <c r="AA74" s="29"/>
    </row>
    <row r="75" spans="2:28">
      <c r="B75" s="18">
        <v>590</v>
      </c>
      <c r="C75" s="42" t="s">
        <v>108</v>
      </c>
      <c r="D75" s="5"/>
      <c r="G75" s="5"/>
      <c r="H75" s="29" t="s">
        <v>107</v>
      </c>
      <c r="I75" s="29"/>
      <c r="J75" s="29" t="s">
        <v>107</v>
      </c>
      <c r="K75" s="29"/>
      <c r="L75" s="29" t="s">
        <v>107</v>
      </c>
      <c r="N75" s="29" t="s">
        <v>107</v>
      </c>
      <c r="P75" s="29" t="s">
        <v>107</v>
      </c>
      <c r="Q75" s="5"/>
      <c r="R75" s="82">
        <v>0</v>
      </c>
      <c r="S75" s="5"/>
      <c r="T75" s="29">
        <v>62364</v>
      </c>
      <c r="U75" s="5"/>
      <c r="V75" s="79">
        <f t="shared" ref="V75:V78" si="26">(R75/$V$11)+T75</f>
        <v>62364</v>
      </c>
      <c r="W75" s="18"/>
      <c r="X75" s="18"/>
      <c r="Y75" s="79">
        <f>T75/$F$188</f>
        <v>183423.5294117647</v>
      </c>
      <c r="Z75" s="18"/>
      <c r="AA75" s="117">
        <f>0-Y75</f>
        <v>-183423.5294117647</v>
      </c>
    </row>
    <row r="76" spans="2:28">
      <c r="B76" s="41">
        <v>510</v>
      </c>
      <c r="C76" s="91" t="s">
        <v>25</v>
      </c>
      <c r="D76" s="91"/>
      <c r="E76" s="91"/>
      <c r="F76" s="91"/>
      <c r="G76" s="91"/>
      <c r="H76" s="92"/>
      <c r="I76" s="92"/>
      <c r="J76" s="92"/>
      <c r="K76" s="92"/>
      <c r="L76" s="92"/>
      <c r="M76" s="91"/>
      <c r="N76" s="92"/>
      <c r="O76" s="91"/>
      <c r="P76" s="92">
        <f t="shared" ref="P76" si="27">SUM(H76:M76)</f>
        <v>0</v>
      </c>
      <c r="Q76" s="93"/>
      <c r="R76" s="94">
        <f>SUM(F76:K76)</f>
        <v>0</v>
      </c>
      <c r="S76" s="93"/>
      <c r="T76" s="92">
        <f>SUM(H76:M76)</f>
        <v>0</v>
      </c>
      <c r="U76" s="93"/>
      <c r="V76" s="95">
        <f t="shared" si="26"/>
        <v>0</v>
      </c>
      <c r="W76" s="38"/>
      <c r="X76" s="38"/>
      <c r="Y76" s="95">
        <v>0</v>
      </c>
      <c r="Z76" s="38"/>
      <c r="AA76" s="116">
        <f t="shared" ref="AA76:AA77" si="28">P76-Y76</f>
        <v>0</v>
      </c>
    </row>
    <row r="77" spans="2:28">
      <c r="B77" s="41">
        <v>520</v>
      </c>
      <c r="C77" s="91" t="s">
        <v>26</v>
      </c>
      <c r="D77" s="91"/>
      <c r="E77" s="91"/>
      <c r="F77" s="91"/>
      <c r="G77" s="91"/>
      <c r="H77" s="92">
        <v>110000</v>
      </c>
      <c r="I77" s="92"/>
      <c r="J77" s="92">
        <v>80000</v>
      </c>
      <c r="K77" s="92"/>
      <c r="L77" s="92">
        <v>75000</v>
      </c>
      <c r="M77" s="91"/>
      <c r="N77" s="92">
        <v>15000</v>
      </c>
      <c r="O77" s="91"/>
      <c r="P77" s="92">
        <f t="shared" ref="P77" si="29">SUM(H77:N77)</f>
        <v>280000</v>
      </c>
      <c r="Q77" s="93"/>
      <c r="R77" s="94">
        <v>0</v>
      </c>
      <c r="S77" s="93"/>
      <c r="T77" s="92">
        <v>87379</v>
      </c>
      <c r="U77" s="93"/>
      <c r="V77" s="95">
        <f t="shared" si="26"/>
        <v>87379</v>
      </c>
      <c r="W77" s="38"/>
      <c r="X77" s="38"/>
      <c r="Y77" s="95">
        <v>300000</v>
      </c>
      <c r="Z77" s="38"/>
      <c r="AA77" s="116">
        <f t="shared" si="28"/>
        <v>-20000</v>
      </c>
    </row>
    <row r="78" spans="2:28">
      <c r="B78" s="39">
        <v>530</v>
      </c>
      <c r="C78" s="6" t="s">
        <v>27</v>
      </c>
      <c r="G78" s="5"/>
      <c r="H78" s="33">
        <v>112000</v>
      </c>
      <c r="I78" s="29"/>
      <c r="J78" s="33">
        <v>65000</v>
      </c>
      <c r="K78" s="29"/>
      <c r="L78" s="33">
        <v>70000</v>
      </c>
      <c r="N78" s="33">
        <v>7000</v>
      </c>
      <c r="P78" s="33">
        <f>SUM(H78:N78)</f>
        <v>254000</v>
      </c>
      <c r="Q78" s="23"/>
      <c r="R78" s="81">
        <v>0</v>
      </c>
      <c r="S78" s="23"/>
      <c r="T78" s="33">
        <v>0</v>
      </c>
      <c r="U78" s="23"/>
      <c r="V78" s="88">
        <f t="shared" si="26"/>
        <v>0</v>
      </c>
      <c r="W78" s="18"/>
      <c r="X78" s="18"/>
      <c r="Y78" s="88">
        <v>0</v>
      </c>
      <c r="Z78" s="18"/>
      <c r="AA78" s="116" t="s">
        <v>178</v>
      </c>
    </row>
    <row r="79" spans="2:28">
      <c r="G79" s="5"/>
      <c r="H79" s="52">
        <f>SUM(H76:H78)</f>
        <v>222000</v>
      </c>
      <c r="I79" s="52"/>
      <c r="J79" s="52">
        <f>SUM(J76:J78)</f>
        <v>145000</v>
      </c>
      <c r="K79" s="52"/>
      <c r="L79" s="52">
        <f>SUM(L76:L78)</f>
        <v>145000</v>
      </c>
      <c r="N79" s="52">
        <f>SUM(N76:N78)</f>
        <v>22000</v>
      </c>
      <c r="P79" s="57">
        <f>SUM(H79:N79)</f>
        <v>534000</v>
      </c>
      <c r="Q79" s="5"/>
      <c r="R79" s="82">
        <f>SUM(R75:R78)</f>
        <v>0</v>
      </c>
      <c r="S79" s="5"/>
      <c r="T79" s="52">
        <f>SUM(T75:T78)</f>
        <v>149743</v>
      </c>
      <c r="U79" s="5"/>
      <c r="V79" s="52">
        <f>SUM(V75:V78)</f>
        <v>149743</v>
      </c>
      <c r="W79" s="18"/>
      <c r="X79" s="18"/>
      <c r="Y79" s="52">
        <f>SUM(Y75:Y78)</f>
        <v>483423.5294117647</v>
      </c>
      <c r="Z79" s="18"/>
      <c r="AA79" s="127">
        <f>SUM(AA75:AA78)</f>
        <v>-203423.5294117647</v>
      </c>
    </row>
    <row r="80" spans="2:28">
      <c r="G80" s="5"/>
      <c r="H80" s="52"/>
      <c r="I80" s="52"/>
      <c r="J80" s="52"/>
      <c r="K80" s="52"/>
      <c r="L80" s="52"/>
      <c r="N80" s="52"/>
      <c r="P80" s="52"/>
      <c r="Q80" s="5"/>
      <c r="R80" s="82"/>
      <c r="S80" s="5"/>
      <c r="T80" s="52"/>
      <c r="U80" s="5"/>
      <c r="V80" s="52"/>
      <c r="W80" s="18"/>
      <c r="X80" s="18"/>
      <c r="Y80" s="52"/>
      <c r="Z80" s="18"/>
      <c r="AA80" s="52"/>
    </row>
    <row r="81" spans="2:27">
      <c r="B81" s="35" t="s">
        <v>92</v>
      </c>
      <c r="C81" s="40"/>
      <c r="D81" s="14"/>
      <c r="G81" s="5"/>
      <c r="H81" s="29"/>
      <c r="I81" s="29"/>
      <c r="J81" s="29"/>
      <c r="K81" s="29"/>
      <c r="L81" s="29"/>
      <c r="N81" s="29"/>
      <c r="P81" s="29"/>
      <c r="Q81" s="5"/>
      <c r="R81" s="82"/>
      <c r="S81" s="5"/>
      <c r="T81" s="29"/>
      <c r="U81" s="5"/>
      <c r="V81" s="29"/>
      <c r="W81" s="18"/>
      <c r="X81" s="18"/>
      <c r="Y81" s="29"/>
      <c r="Z81" s="18"/>
      <c r="AA81" s="29"/>
    </row>
    <row r="82" spans="2:27">
      <c r="B82" s="35">
        <v>690</v>
      </c>
      <c r="C82" s="40" t="s">
        <v>108</v>
      </c>
      <c r="D82" s="14"/>
      <c r="E82" s="14"/>
      <c r="F82" s="14"/>
      <c r="G82" s="14"/>
      <c r="H82" s="33" t="s">
        <v>107</v>
      </c>
      <c r="I82" s="33"/>
      <c r="J82" s="33" t="s">
        <v>107</v>
      </c>
      <c r="K82" s="33"/>
      <c r="L82" s="33" t="s">
        <v>107</v>
      </c>
      <c r="M82" s="14"/>
      <c r="N82" s="33" t="s">
        <v>107</v>
      </c>
      <c r="O82" s="14"/>
      <c r="P82" s="33" t="s">
        <v>107</v>
      </c>
      <c r="Q82" s="14"/>
      <c r="R82" s="81">
        <v>0</v>
      </c>
      <c r="S82" s="14"/>
      <c r="T82" s="33">
        <v>2942</v>
      </c>
      <c r="U82" s="14"/>
      <c r="V82" s="88">
        <f t="shared" ref="V82" si="30">(R82/$V$11)+T82</f>
        <v>2942</v>
      </c>
      <c r="W82" s="35"/>
      <c r="X82" s="35"/>
      <c r="Y82" s="88">
        <f>T82/$F$188</f>
        <v>8652.9411764705874</v>
      </c>
      <c r="Z82" s="35"/>
      <c r="AA82" s="117">
        <f>0-Y82</f>
        <v>-8652.9411764705874</v>
      </c>
    </row>
    <row r="83" spans="2:27">
      <c r="B83" s="39">
        <v>610</v>
      </c>
      <c r="C83" s="6" t="s">
        <v>61</v>
      </c>
      <c r="G83" s="5"/>
      <c r="H83" s="29">
        <v>345000</v>
      </c>
      <c r="I83" s="29"/>
      <c r="J83" s="29">
        <v>95000</v>
      </c>
      <c r="K83" s="29"/>
      <c r="L83" s="29">
        <v>80000</v>
      </c>
      <c r="N83" s="29">
        <v>0</v>
      </c>
      <c r="P83" s="30">
        <f t="shared" ref="P83:P85" si="31">SUM(H83:N83)</f>
        <v>520000</v>
      </c>
      <c r="Q83" s="23"/>
      <c r="R83" s="80">
        <f>46858.9+26488</f>
        <v>73346.899999999994</v>
      </c>
      <c r="S83" s="23"/>
      <c r="T83" s="30">
        <v>36961</v>
      </c>
      <c r="U83" s="23"/>
      <c r="V83" s="79">
        <f t="shared" ref="V83:V86" si="32">(R83/$V$11)+T83</f>
        <v>49185.48333333333</v>
      </c>
      <c r="W83" s="18"/>
      <c r="X83" s="18"/>
      <c r="Y83" s="79">
        <v>800000</v>
      </c>
      <c r="Z83" s="18"/>
      <c r="AA83" s="116">
        <f t="shared" ref="AA83:AA85" si="33">P83-Y83</f>
        <v>-280000</v>
      </c>
    </row>
    <row r="84" spans="2:27">
      <c r="B84" s="41">
        <v>620</v>
      </c>
      <c r="C84" s="91" t="s">
        <v>62</v>
      </c>
      <c r="D84" s="91"/>
      <c r="E84" s="91"/>
      <c r="F84" s="91"/>
      <c r="G84" s="91"/>
      <c r="H84" s="92">
        <v>15000</v>
      </c>
      <c r="I84" s="92"/>
      <c r="J84" s="92">
        <v>0</v>
      </c>
      <c r="K84" s="92"/>
      <c r="L84" s="92">
        <v>0</v>
      </c>
      <c r="M84" s="91"/>
      <c r="N84" s="92">
        <v>0</v>
      </c>
      <c r="O84" s="91"/>
      <c r="P84" s="92">
        <f t="shared" si="31"/>
        <v>15000</v>
      </c>
      <c r="Q84" s="93"/>
      <c r="R84" s="94">
        <v>0</v>
      </c>
      <c r="S84" s="93"/>
      <c r="T84" s="92">
        <v>0</v>
      </c>
      <c r="U84" s="93"/>
      <c r="V84" s="95">
        <f t="shared" si="32"/>
        <v>0</v>
      </c>
      <c r="W84" s="38"/>
      <c r="X84" s="38"/>
      <c r="Y84" s="95">
        <v>0</v>
      </c>
      <c r="Z84" s="38"/>
      <c r="AA84" s="116">
        <f t="shared" si="33"/>
        <v>15000</v>
      </c>
    </row>
    <row r="85" spans="2:27">
      <c r="B85" s="41">
        <v>630</v>
      </c>
      <c r="C85" s="91" t="s">
        <v>63</v>
      </c>
      <c r="D85" s="91"/>
      <c r="E85" s="91"/>
      <c r="F85" s="91"/>
      <c r="G85" s="91"/>
      <c r="H85" s="92">
        <v>15000</v>
      </c>
      <c r="I85" s="92"/>
      <c r="J85" s="92">
        <v>0</v>
      </c>
      <c r="K85" s="92"/>
      <c r="L85" s="92">
        <v>0</v>
      </c>
      <c r="M85" s="91"/>
      <c r="N85" s="92">
        <v>0</v>
      </c>
      <c r="O85" s="91"/>
      <c r="P85" s="92">
        <f t="shared" si="31"/>
        <v>15000</v>
      </c>
      <c r="Q85" s="93"/>
      <c r="R85" s="94">
        <v>0</v>
      </c>
      <c r="S85" s="93"/>
      <c r="T85" s="92">
        <v>0</v>
      </c>
      <c r="U85" s="93"/>
      <c r="V85" s="95">
        <f t="shared" si="32"/>
        <v>0</v>
      </c>
      <c r="W85" s="38"/>
      <c r="X85" s="38"/>
      <c r="Y85" s="95">
        <v>0</v>
      </c>
      <c r="Z85" s="38"/>
      <c r="AA85" s="116">
        <f t="shared" si="33"/>
        <v>15000</v>
      </c>
    </row>
    <row r="86" spans="2:27">
      <c r="B86" s="39">
        <v>640</v>
      </c>
      <c r="C86" s="6" t="s">
        <v>64</v>
      </c>
      <c r="G86" s="5"/>
      <c r="H86" s="33" t="s">
        <v>0</v>
      </c>
      <c r="I86" s="29"/>
      <c r="J86" s="33" t="s">
        <v>0</v>
      </c>
      <c r="K86" s="29"/>
      <c r="L86" s="33" t="s">
        <v>0</v>
      </c>
      <c r="N86" s="33" t="s">
        <v>0</v>
      </c>
      <c r="P86" s="33">
        <f>SUM(H86:N86)</f>
        <v>0</v>
      </c>
      <c r="Q86" s="23"/>
      <c r="R86" s="81">
        <f>123539+61376</f>
        <v>184915</v>
      </c>
      <c r="S86" s="23"/>
      <c r="T86" s="33">
        <f>SUM(H86:M86)</f>
        <v>0</v>
      </c>
      <c r="U86" s="23"/>
      <c r="V86" s="88">
        <f t="shared" si="32"/>
        <v>30819.166666666668</v>
      </c>
      <c r="W86" s="18"/>
      <c r="X86" s="18"/>
      <c r="Y86" s="88">
        <v>0</v>
      </c>
      <c r="Z86" s="18"/>
      <c r="AA86" s="116" t="s">
        <v>178</v>
      </c>
    </row>
    <row r="87" spans="2:27">
      <c r="G87" s="5"/>
      <c r="H87" s="52">
        <f>SUM(H83:H86)</f>
        <v>375000</v>
      </c>
      <c r="I87" s="52"/>
      <c r="J87" s="52">
        <f>SUM(J83:J86)</f>
        <v>95000</v>
      </c>
      <c r="K87" s="52"/>
      <c r="L87" s="52">
        <f>SUM(L83:L86)</f>
        <v>80000</v>
      </c>
      <c r="N87" s="52">
        <f>SUM(N83:N86)</f>
        <v>0</v>
      </c>
      <c r="P87" s="57">
        <f>SUM(H87:N87)</f>
        <v>550000</v>
      </c>
      <c r="Q87" s="5"/>
      <c r="R87" s="82">
        <f>SUM(R82:R86)</f>
        <v>258261.9</v>
      </c>
      <c r="S87" s="5"/>
      <c r="T87" s="29">
        <f>SUM(T82:T86)</f>
        <v>39903</v>
      </c>
      <c r="U87" s="5"/>
      <c r="V87" s="52">
        <f>SUM(V82:V86)</f>
        <v>82946.649999999994</v>
      </c>
      <c r="W87" s="18"/>
      <c r="X87" s="18"/>
      <c r="Y87" s="52">
        <f>SUM(Y82:Y86)</f>
        <v>808652.9411764706</v>
      </c>
      <c r="Z87" s="18"/>
      <c r="AA87" s="127">
        <f>SUM(AA82:AA86)</f>
        <v>-258652.9411764706</v>
      </c>
    </row>
    <row r="88" spans="2:27">
      <c r="G88" s="5"/>
      <c r="H88" s="56"/>
      <c r="I88" s="56"/>
      <c r="J88" s="56"/>
      <c r="K88" s="56"/>
      <c r="L88" s="56"/>
      <c r="N88" s="56"/>
      <c r="P88" s="57" t="s">
        <v>0</v>
      </c>
      <c r="Q88" s="5"/>
      <c r="R88" s="80" t="s">
        <v>0</v>
      </c>
      <c r="S88" s="5"/>
      <c r="T88" s="57" t="s">
        <v>0</v>
      </c>
      <c r="U88" s="5"/>
      <c r="V88" s="57" t="s">
        <v>0</v>
      </c>
      <c r="W88" s="18"/>
      <c r="X88" s="18"/>
      <c r="Y88" s="57" t="s">
        <v>0</v>
      </c>
      <c r="Z88" s="18"/>
      <c r="AA88" s="57" t="s">
        <v>0</v>
      </c>
    </row>
    <row r="89" spans="2:27" ht="12" customHeight="1">
      <c r="B89" s="35" t="s">
        <v>55</v>
      </c>
      <c r="C89" s="40"/>
      <c r="D89" s="14"/>
      <c r="G89" s="5"/>
      <c r="H89" s="29"/>
      <c r="I89" s="29"/>
      <c r="J89" s="29"/>
      <c r="K89" s="29"/>
      <c r="L89" s="29"/>
      <c r="N89" s="29"/>
      <c r="P89" s="29"/>
      <c r="Q89" s="5"/>
      <c r="R89" s="82"/>
      <c r="S89" s="5"/>
      <c r="T89" s="29"/>
      <c r="U89" s="5"/>
      <c r="V89" s="29"/>
      <c r="W89" s="18"/>
      <c r="X89" s="18"/>
      <c r="Y89" s="29"/>
      <c r="Z89" s="18"/>
      <c r="AA89" s="29"/>
    </row>
    <row r="90" spans="2:27" ht="12" customHeight="1">
      <c r="B90" s="18">
        <v>790</v>
      </c>
      <c r="C90" s="42" t="s">
        <v>108</v>
      </c>
      <c r="D90" s="5"/>
      <c r="G90" s="5"/>
      <c r="H90" s="29" t="s">
        <v>107</v>
      </c>
      <c r="I90" s="29"/>
      <c r="J90" s="29" t="s">
        <v>107</v>
      </c>
      <c r="K90" s="29"/>
      <c r="L90" s="29" t="s">
        <v>107</v>
      </c>
      <c r="N90" s="29" t="s">
        <v>107</v>
      </c>
      <c r="P90" s="29" t="s">
        <v>107</v>
      </c>
      <c r="Q90" s="5"/>
      <c r="R90" s="82">
        <v>0</v>
      </c>
      <c r="S90" s="5"/>
      <c r="T90" s="29">
        <v>88280</v>
      </c>
      <c r="U90" s="5"/>
      <c r="V90" s="79">
        <f t="shared" ref="V90:V93" si="34">(R90/$V$11)+T90</f>
        <v>88280</v>
      </c>
      <c r="W90" s="18"/>
      <c r="X90" s="18"/>
      <c r="Y90" s="88">
        <f>T90/$F$188</f>
        <v>259647.0588235294</v>
      </c>
      <c r="Z90" s="35"/>
      <c r="AA90" s="117">
        <f>0-Y90</f>
        <v>-259647.0588235294</v>
      </c>
    </row>
    <row r="91" spans="2:27">
      <c r="B91" s="41">
        <v>700</v>
      </c>
      <c r="C91" s="91" t="s">
        <v>28</v>
      </c>
      <c r="D91" s="91"/>
      <c r="E91" s="91"/>
      <c r="F91" s="91"/>
      <c r="G91" s="91"/>
      <c r="H91" s="92">
        <v>1406000</v>
      </c>
      <c r="I91" s="92"/>
      <c r="J91" s="92">
        <v>405000</v>
      </c>
      <c r="K91" s="92"/>
      <c r="L91" s="92">
        <v>140000</v>
      </c>
      <c r="M91" s="91"/>
      <c r="N91" s="92">
        <v>19000</v>
      </c>
      <c r="O91" s="91"/>
      <c r="P91" s="92">
        <f t="shared" ref="P91:P92" si="35">SUM(H91:N91)</f>
        <v>1970000</v>
      </c>
      <c r="Q91" s="93"/>
      <c r="R91" s="94">
        <v>0</v>
      </c>
      <c r="S91" s="93"/>
      <c r="T91" s="92">
        <v>0</v>
      </c>
      <c r="U91" s="93"/>
      <c r="V91" s="95">
        <f t="shared" si="34"/>
        <v>0</v>
      </c>
      <c r="W91" s="38"/>
      <c r="X91" s="38"/>
      <c r="Y91" s="95">
        <v>0</v>
      </c>
      <c r="Z91" s="38"/>
      <c r="AA91" s="116" t="s">
        <v>178</v>
      </c>
    </row>
    <row r="92" spans="2:27">
      <c r="B92" s="101">
        <v>750</v>
      </c>
      <c r="C92" s="102" t="s">
        <v>56</v>
      </c>
      <c r="D92" s="102"/>
      <c r="E92" s="91"/>
      <c r="F92" s="102"/>
      <c r="G92" s="91"/>
      <c r="H92" s="92" t="s">
        <v>0</v>
      </c>
      <c r="I92" s="92"/>
      <c r="J92" s="92" t="s">
        <v>0</v>
      </c>
      <c r="K92" s="92"/>
      <c r="L92" s="92" t="s">
        <v>0</v>
      </c>
      <c r="M92" s="91"/>
      <c r="N92" s="92" t="s">
        <v>0</v>
      </c>
      <c r="O92" s="91"/>
      <c r="P92" s="92">
        <f t="shared" si="35"/>
        <v>0</v>
      </c>
      <c r="Q92" s="93"/>
      <c r="R92" s="94">
        <f>SUM(F92:K92)</f>
        <v>0</v>
      </c>
      <c r="S92" s="93"/>
      <c r="T92" s="92">
        <f>SUM(H92:M92)</f>
        <v>0</v>
      </c>
      <c r="U92" s="93"/>
      <c r="V92" s="95">
        <f t="shared" si="34"/>
        <v>0</v>
      </c>
      <c r="W92" s="38"/>
      <c r="X92" s="38"/>
      <c r="Y92" s="95">
        <v>0</v>
      </c>
      <c r="Z92" s="38"/>
      <c r="AA92" s="116">
        <f t="shared" ref="AA92:AA93" si="36">P92-Y92</f>
        <v>0</v>
      </c>
    </row>
    <row r="93" spans="2:27">
      <c r="B93" s="44">
        <v>755</v>
      </c>
      <c r="C93" s="45" t="s">
        <v>57</v>
      </c>
      <c r="D93" s="45"/>
      <c r="F93" s="45"/>
      <c r="G93" s="5"/>
      <c r="H93" s="33" t="s">
        <v>0</v>
      </c>
      <c r="I93" s="29"/>
      <c r="J93" s="33" t="s">
        <v>0</v>
      </c>
      <c r="K93" s="29"/>
      <c r="L93" s="33" t="s">
        <v>0</v>
      </c>
      <c r="N93" s="33" t="s">
        <v>0</v>
      </c>
      <c r="P93" s="33">
        <f>SUM(H93:N93)</f>
        <v>0</v>
      </c>
      <c r="Q93" s="23"/>
      <c r="R93" s="81">
        <f>SUM(F93:K93)</f>
        <v>0</v>
      </c>
      <c r="S93" s="23"/>
      <c r="T93" s="33">
        <f>SUM(H93:M93)</f>
        <v>0</v>
      </c>
      <c r="U93" s="23"/>
      <c r="V93" s="88">
        <f t="shared" si="34"/>
        <v>0</v>
      </c>
      <c r="W93" s="18"/>
      <c r="X93" s="18"/>
      <c r="Y93" s="88">
        <v>0</v>
      </c>
      <c r="Z93" s="18"/>
      <c r="AA93" s="116">
        <f t="shared" si="36"/>
        <v>0</v>
      </c>
    </row>
    <row r="94" spans="2:27">
      <c r="H94" s="52">
        <f>SUM(H89:H93)</f>
        <v>1406000</v>
      </c>
      <c r="I94" s="52"/>
      <c r="J94" s="52">
        <f>SUM(J89:J93)</f>
        <v>405000</v>
      </c>
      <c r="K94" s="52"/>
      <c r="L94" s="52">
        <f>SUM(L89:L93)</f>
        <v>140000</v>
      </c>
      <c r="N94" s="52">
        <f>SUM(N89:N93)</f>
        <v>19000</v>
      </c>
      <c r="P94" s="57">
        <f>SUM(H94:N94)</f>
        <v>1970000</v>
      </c>
      <c r="Q94" s="5"/>
      <c r="R94" s="82">
        <f>SUM(R89:R93)</f>
        <v>0</v>
      </c>
      <c r="S94" s="5"/>
      <c r="T94" s="52">
        <f>SUM(T89:T93)</f>
        <v>88280</v>
      </c>
      <c r="U94" s="5"/>
      <c r="V94" s="52">
        <f>SUM(V89:V93)</f>
        <v>88280</v>
      </c>
      <c r="W94" s="18"/>
      <c r="X94" s="18"/>
      <c r="Y94" s="52">
        <f>SUM(Y89:Y93)</f>
        <v>259647.0588235294</v>
      </c>
      <c r="Z94" s="18"/>
      <c r="AA94" s="127">
        <f>SUM(AA90:AA93)</f>
        <v>-259647.0588235294</v>
      </c>
    </row>
    <row r="95" spans="2:27">
      <c r="H95" s="29"/>
      <c r="I95" s="29"/>
      <c r="J95" s="29"/>
      <c r="K95" s="29"/>
      <c r="L95" s="29"/>
      <c r="N95" s="29"/>
      <c r="P95" s="29"/>
      <c r="Q95" s="5"/>
      <c r="R95" s="82"/>
      <c r="S95" s="5"/>
      <c r="T95" s="29"/>
      <c r="U95" s="5"/>
      <c r="V95" s="29"/>
      <c r="W95" s="18"/>
      <c r="X95" s="18"/>
      <c r="Y95" s="29"/>
      <c r="Z95" s="18"/>
      <c r="AA95" s="29"/>
    </row>
    <row r="96" spans="2:27">
      <c r="B96" s="35" t="s">
        <v>58</v>
      </c>
      <c r="C96" s="40"/>
      <c r="D96" s="14"/>
      <c r="H96" s="33">
        <v>1048000</v>
      </c>
      <c r="I96" s="29"/>
      <c r="J96" s="33">
        <v>256000</v>
      </c>
      <c r="K96" s="29"/>
      <c r="L96" s="33">
        <v>32000</v>
      </c>
      <c r="N96" s="33">
        <v>19000</v>
      </c>
      <c r="P96" s="33">
        <f>SUM(H96:N96)</f>
        <v>1355000</v>
      </c>
      <c r="Q96" s="5"/>
      <c r="R96" s="81">
        <f>62760+1376597</f>
        <v>1439357</v>
      </c>
      <c r="S96" s="5"/>
      <c r="T96" s="33">
        <v>93264</v>
      </c>
      <c r="U96" s="5"/>
      <c r="V96" s="88">
        <f t="shared" ref="V96" si="37">(R96/$V$11)+T96</f>
        <v>333156.83333333337</v>
      </c>
      <c r="W96" s="18"/>
      <c r="X96" s="18"/>
      <c r="Y96" s="88">
        <f>T96/$F$188</f>
        <v>274305.88235294115</v>
      </c>
      <c r="Z96" s="18"/>
      <c r="AA96" s="117">
        <f>0-Y96</f>
        <v>-274305.88235294115</v>
      </c>
    </row>
    <row r="97" spans="2:27">
      <c r="B97" s="18"/>
      <c r="C97" s="42"/>
      <c r="D97" s="5"/>
      <c r="H97" s="52">
        <f>SUM(H96:H96)</f>
        <v>1048000</v>
      </c>
      <c r="I97" s="52"/>
      <c r="J97" s="52">
        <f>SUM(J96:J96)</f>
        <v>256000</v>
      </c>
      <c r="K97" s="52"/>
      <c r="L97" s="52">
        <f>SUM(L96:L96)</f>
        <v>32000</v>
      </c>
      <c r="N97" s="52">
        <f>SUM(N96:N96)</f>
        <v>19000</v>
      </c>
      <c r="P97" s="57">
        <f>SUM(H97:N97)</f>
        <v>1355000</v>
      </c>
      <c r="Q97" s="5"/>
      <c r="R97" s="82">
        <f>SUM(R96:R96)</f>
        <v>1439357</v>
      </c>
      <c r="S97" s="5"/>
      <c r="T97" s="52">
        <f>SUM(T96:T96)</f>
        <v>93264</v>
      </c>
      <c r="U97" s="5"/>
      <c r="V97" s="52">
        <f>SUM(V96:V96)</f>
        <v>333156.83333333337</v>
      </c>
      <c r="W97" s="18"/>
      <c r="X97" s="18"/>
      <c r="Y97" s="52">
        <f>SUM(Y96:Y96)</f>
        <v>274305.88235294115</v>
      </c>
      <c r="Z97" s="18"/>
      <c r="AA97" s="127">
        <f>+AA96</f>
        <v>-274305.88235294115</v>
      </c>
    </row>
    <row r="98" spans="2:27">
      <c r="I98" s="18"/>
      <c r="J98" s="13"/>
      <c r="K98" s="13"/>
      <c r="N98" s="13"/>
      <c r="Q98" s="23"/>
      <c r="R98" s="79"/>
      <c r="S98" s="23"/>
      <c r="U98" s="23"/>
      <c r="V98" s="13"/>
      <c r="W98" s="18"/>
      <c r="X98" s="18"/>
      <c r="Y98" s="13"/>
      <c r="Z98" s="18"/>
      <c r="AA98" s="13"/>
    </row>
    <row r="99" spans="2:27">
      <c r="B99" s="35" t="s">
        <v>59</v>
      </c>
      <c r="C99" s="40"/>
      <c r="D99" s="14"/>
      <c r="H99" s="33">
        <v>340000</v>
      </c>
      <c r="I99" s="29"/>
      <c r="J99" s="33">
        <v>155000</v>
      </c>
      <c r="K99" s="29"/>
      <c r="L99" s="33">
        <v>25000</v>
      </c>
      <c r="N99" s="33">
        <v>5000</v>
      </c>
      <c r="P99" s="33">
        <f>SUM(H99:N99)</f>
        <v>525000</v>
      </c>
      <c r="Q99" s="23"/>
      <c r="R99" s="81">
        <v>48731</v>
      </c>
      <c r="S99" s="23"/>
      <c r="T99" s="33">
        <v>3303</v>
      </c>
      <c r="U99" s="23"/>
      <c r="V99" s="88">
        <f t="shared" ref="V99" si="38">(R99/$V$11)+T99</f>
        <v>11424.833333333332</v>
      </c>
      <c r="W99" s="18"/>
      <c r="X99" s="18"/>
      <c r="Y99" s="88">
        <f>T99/$F$188</f>
        <v>9714.7058823529405</v>
      </c>
      <c r="Z99" s="18"/>
      <c r="AA99" s="117">
        <f>0-Y99</f>
        <v>-9714.7058823529405</v>
      </c>
    </row>
    <row r="100" spans="2:27">
      <c r="H100" s="52">
        <f>SUM(H99:H99)</f>
        <v>340000</v>
      </c>
      <c r="I100" s="52"/>
      <c r="J100" s="52">
        <f>SUM(J99:J99)</f>
        <v>155000</v>
      </c>
      <c r="K100" s="52"/>
      <c r="L100" s="52">
        <f>SUM(L99:L99)</f>
        <v>25000</v>
      </c>
      <c r="N100" s="52">
        <f>SUM(N99:N99)</f>
        <v>5000</v>
      </c>
      <c r="P100" s="57">
        <f>SUM(H100:N100)</f>
        <v>525000</v>
      </c>
      <c r="Q100" s="5"/>
      <c r="R100" s="82">
        <f>SUM(R99:R99)</f>
        <v>48731</v>
      </c>
      <c r="S100" s="5"/>
      <c r="T100" s="52">
        <f>SUM(T99:T99)</f>
        <v>3303</v>
      </c>
      <c r="U100" s="5"/>
      <c r="V100" s="52">
        <f>SUM(V99:V99)</f>
        <v>11424.833333333332</v>
      </c>
      <c r="W100" s="18"/>
      <c r="X100" s="18"/>
      <c r="Y100" s="52">
        <f>SUM(Y99:Y99)</f>
        <v>9714.7058823529405</v>
      </c>
      <c r="Z100" s="18"/>
      <c r="AA100" s="127">
        <f>+AA99</f>
        <v>-9714.7058823529405</v>
      </c>
    </row>
    <row r="101" spans="2:27">
      <c r="H101" s="52"/>
      <c r="I101" s="52"/>
      <c r="J101" s="52"/>
      <c r="K101" s="52"/>
      <c r="L101" s="52"/>
      <c r="N101" s="52"/>
      <c r="P101" s="52"/>
      <c r="Q101" s="5"/>
      <c r="R101" s="82"/>
      <c r="S101" s="5"/>
      <c r="T101" s="52"/>
      <c r="U101" s="5"/>
      <c r="V101" s="52"/>
      <c r="W101" s="18"/>
      <c r="X101" s="18"/>
      <c r="Y101" s="52"/>
      <c r="Z101" s="18"/>
      <c r="AA101" s="52"/>
    </row>
    <row r="102" spans="2:27">
      <c r="B102" s="35" t="s">
        <v>70</v>
      </c>
      <c r="C102" s="40"/>
      <c r="D102" s="14"/>
      <c r="H102" s="29" t="s">
        <v>0</v>
      </c>
      <c r="I102" s="29"/>
      <c r="J102" s="29" t="s">
        <v>0</v>
      </c>
      <c r="K102" s="29"/>
      <c r="L102" s="29" t="s">
        <v>0</v>
      </c>
      <c r="N102" s="29" t="s">
        <v>0</v>
      </c>
      <c r="P102" s="29" t="s">
        <v>0</v>
      </c>
      <c r="Q102" s="5"/>
      <c r="R102" s="82" t="s">
        <v>0</v>
      </c>
      <c r="S102" s="5"/>
      <c r="T102" s="29" t="s">
        <v>0</v>
      </c>
      <c r="U102" s="5"/>
      <c r="V102" s="29" t="s">
        <v>0</v>
      </c>
      <c r="W102" s="18"/>
      <c r="X102" s="18"/>
      <c r="Y102" s="29" t="s">
        <v>0</v>
      </c>
      <c r="Z102" s="18"/>
      <c r="AA102" s="29" t="s">
        <v>0</v>
      </c>
    </row>
    <row r="103" spans="2:27">
      <c r="B103" s="123">
        <v>1090</v>
      </c>
      <c r="C103" s="42" t="s">
        <v>108</v>
      </c>
      <c r="D103" s="5"/>
      <c r="H103" s="29" t="s">
        <v>107</v>
      </c>
      <c r="I103" s="29"/>
      <c r="J103" s="29" t="s">
        <v>107</v>
      </c>
      <c r="K103" s="29"/>
      <c r="L103" s="29" t="s">
        <v>107</v>
      </c>
      <c r="N103" s="29" t="s">
        <v>107</v>
      </c>
      <c r="P103" s="29" t="s">
        <v>107</v>
      </c>
      <c r="Q103" s="5"/>
      <c r="R103" s="82">
        <v>0</v>
      </c>
      <c r="S103" s="5"/>
      <c r="T103" s="29">
        <v>12452</v>
      </c>
      <c r="U103" s="5"/>
      <c r="V103" s="79">
        <f t="shared" ref="V103:V113" si="39">(R103/$V$11)+T103</f>
        <v>12452</v>
      </c>
      <c r="W103" s="18"/>
      <c r="X103" s="18"/>
      <c r="Y103" s="88">
        <f>T103/$F$188</f>
        <v>36623.529411764706</v>
      </c>
      <c r="Z103" s="35"/>
      <c r="AA103" s="117">
        <f>0-Y103</f>
        <v>-36623.529411764706</v>
      </c>
    </row>
    <row r="104" spans="2:27">
      <c r="B104" s="124">
        <v>1010</v>
      </c>
      <c r="C104" s="41" t="s">
        <v>112</v>
      </c>
      <c r="D104" s="91"/>
      <c r="E104" s="91"/>
      <c r="F104" s="91"/>
      <c r="G104" s="91"/>
      <c r="H104" s="92" t="s">
        <v>107</v>
      </c>
      <c r="I104" s="92"/>
      <c r="J104" s="92" t="s">
        <v>107</v>
      </c>
      <c r="K104" s="92"/>
      <c r="L104" s="92" t="s">
        <v>107</v>
      </c>
      <c r="M104" s="91"/>
      <c r="N104" s="92" t="s">
        <v>107</v>
      </c>
      <c r="O104" s="91"/>
      <c r="P104" s="92" t="s">
        <v>107</v>
      </c>
      <c r="Q104" s="91"/>
      <c r="R104" s="94">
        <v>0</v>
      </c>
      <c r="S104" s="91"/>
      <c r="T104" s="92">
        <v>125276</v>
      </c>
      <c r="U104" s="91"/>
      <c r="V104" s="95">
        <f t="shared" si="39"/>
        <v>125276</v>
      </c>
      <c r="W104" s="38"/>
      <c r="X104" s="38"/>
      <c r="Y104" s="95">
        <v>500000</v>
      </c>
      <c r="Z104" s="38"/>
      <c r="AA104" s="116">
        <f>0-Y104</f>
        <v>-500000</v>
      </c>
    </row>
    <row r="105" spans="2:27">
      <c r="B105" s="41">
        <v>1001</v>
      </c>
      <c r="C105" s="91" t="s">
        <v>65</v>
      </c>
      <c r="D105" s="91"/>
      <c r="E105" s="91"/>
      <c r="F105" s="91"/>
      <c r="G105" s="91"/>
      <c r="H105" s="92">
        <v>614000</v>
      </c>
      <c r="I105" s="92"/>
      <c r="J105" s="92">
        <v>230000</v>
      </c>
      <c r="K105" s="92"/>
      <c r="L105" s="92">
        <v>187000</v>
      </c>
      <c r="M105" s="91"/>
      <c r="N105" s="92">
        <v>3000</v>
      </c>
      <c r="O105" s="91"/>
      <c r="P105" s="92">
        <f t="shared" ref="P105:P112" si="40">SUM(H105:N105)</f>
        <v>1034000</v>
      </c>
      <c r="Q105" s="93"/>
      <c r="R105" s="94">
        <f>250054+134400</f>
        <v>384454</v>
      </c>
      <c r="S105" s="93"/>
      <c r="T105" s="92">
        <v>114660</v>
      </c>
      <c r="U105" s="93"/>
      <c r="V105" s="95">
        <f t="shared" si="39"/>
        <v>178735.66666666666</v>
      </c>
      <c r="W105" s="38"/>
      <c r="X105" s="38"/>
      <c r="Y105" s="95">
        <v>800000</v>
      </c>
      <c r="Z105" s="38"/>
      <c r="AA105" s="116">
        <f>P105-200000-Y105</f>
        <v>34000</v>
      </c>
    </row>
    <row r="106" spans="2:27">
      <c r="B106" s="41">
        <v>1002</v>
      </c>
      <c r="C106" s="91" t="s">
        <v>39</v>
      </c>
      <c r="D106" s="91"/>
      <c r="E106" s="91"/>
      <c r="F106" s="91"/>
      <c r="G106" s="91"/>
      <c r="H106" s="92">
        <v>1800000</v>
      </c>
      <c r="I106" s="92"/>
      <c r="J106" s="92">
        <f>1134000+900000</f>
        <v>2034000</v>
      </c>
      <c r="K106" s="92"/>
      <c r="L106" s="92">
        <v>350000</v>
      </c>
      <c r="M106" s="91"/>
      <c r="N106" s="92">
        <v>40000</v>
      </c>
      <c r="O106" s="91"/>
      <c r="P106" s="92">
        <f t="shared" si="40"/>
        <v>4224000</v>
      </c>
      <c r="Q106" s="91"/>
      <c r="R106" s="94">
        <v>0</v>
      </c>
      <c r="S106" s="91"/>
      <c r="T106" s="92">
        <v>973534</v>
      </c>
      <c r="U106" s="91"/>
      <c r="V106" s="95">
        <f t="shared" si="39"/>
        <v>973534</v>
      </c>
      <c r="W106" s="38"/>
      <c r="X106" s="38"/>
      <c r="Y106" s="95">
        <v>3500000</v>
      </c>
      <c r="Z106" s="38"/>
      <c r="AA106" s="116">
        <f t="shared" ref="AA106:AA113" si="41">P106-Y106</f>
        <v>724000</v>
      </c>
    </row>
    <row r="107" spans="2:27">
      <c r="B107" s="41">
        <v>1003</v>
      </c>
      <c r="C107" s="91" t="s">
        <v>66</v>
      </c>
      <c r="D107" s="91"/>
      <c r="E107" s="91"/>
      <c r="F107" s="91"/>
      <c r="G107" s="91"/>
      <c r="H107" s="92">
        <v>900000</v>
      </c>
      <c r="I107" s="92"/>
      <c r="J107" s="92">
        <f>567000+75000</f>
        <v>642000</v>
      </c>
      <c r="K107" s="92"/>
      <c r="L107" s="92">
        <v>250000</v>
      </c>
      <c r="M107" s="91"/>
      <c r="N107" s="92">
        <v>40000</v>
      </c>
      <c r="O107" s="91"/>
      <c r="P107" s="92">
        <f t="shared" si="40"/>
        <v>1832000</v>
      </c>
      <c r="Q107" s="91"/>
      <c r="R107" s="94">
        <v>10192</v>
      </c>
      <c r="S107" s="91"/>
      <c r="T107" s="92">
        <v>661675</v>
      </c>
      <c r="U107" s="91"/>
      <c r="V107" s="95">
        <f t="shared" si="39"/>
        <v>663373.66666666663</v>
      </c>
      <c r="W107" s="38"/>
      <c r="X107" s="38"/>
      <c r="Y107" s="95">
        <v>2400000</v>
      </c>
      <c r="Z107" s="38"/>
      <c r="AA107" s="116">
        <f t="shared" si="41"/>
        <v>-568000</v>
      </c>
    </row>
    <row r="108" spans="2:27">
      <c r="B108" s="41">
        <v>1004</v>
      </c>
      <c r="C108" s="102" t="s">
        <v>67</v>
      </c>
      <c r="D108" s="91"/>
      <c r="E108" s="91"/>
      <c r="F108" s="91"/>
      <c r="G108" s="91"/>
      <c r="H108" s="92">
        <v>50000</v>
      </c>
      <c r="I108" s="92"/>
      <c r="J108" s="92">
        <v>32000</v>
      </c>
      <c r="K108" s="92"/>
      <c r="L108" s="92">
        <v>0</v>
      </c>
      <c r="M108" s="91"/>
      <c r="N108" s="92">
        <v>0</v>
      </c>
      <c r="O108" s="91"/>
      <c r="P108" s="92">
        <f t="shared" si="40"/>
        <v>82000</v>
      </c>
      <c r="Q108" s="91"/>
      <c r="R108" s="94">
        <v>0</v>
      </c>
      <c r="S108" s="91"/>
      <c r="T108" s="92">
        <v>0</v>
      </c>
      <c r="U108" s="91"/>
      <c r="V108" s="95">
        <f t="shared" si="39"/>
        <v>0</v>
      </c>
      <c r="W108" s="38"/>
      <c r="X108" s="38"/>
      <c r="Y108" s="95">
        <v>0</v>
      </c>
      <c r="Z108" s="38"/>
      <c r="AA108" s="116">
        <f t="shared" si="41"/>
        <v>82000</v>
      </c>
    </row>
    <row r="109" spans="2:27">
      <c r="B109" s="41">
        <v>1005</v>
      </c>
      <c r="C109" s="102" t="s">
        <v>40</v>
      </c>
      <c r="D109" s="91"/>
      <c r="E109" s="91"/>
      <c r="F109" s="91"/>
      <c r="G109" s="91"/>
      <c r="H109" s="92" t="s">
        <v>0</v>
      </c>
      <c r="I109" s="92"/>
      <c r="J109" s="92" t="s">
        <v>0</v>
      </c>
      <c r="K109" s="92"/>
      <c r="L109" s="92" t="s">
        <v>0</v>
      </c>
      <c r="M109" s="91"/>
      <c r="N109" s="92" t="s">
        <v>0</v>
      </c>
      <c r="O109" s="91"/>
      <c r="P109" s="92">
        <f t="shared" si="40"/>
        <v>0</v>
      </c>
      <c r="Q109" s="102"/>
      <c r="R109" s="94">
        <f>15904+650004</f>
        <v>665908</v>
      </c>
      <c r="S109" s="102"/>
      <c r="T109" s="92">
        <f>SUM(H109:M109)</f>
        <v>0</v>
      </c>
      <c r="U109" s="102"/>
      <c r="V109" s="95">
        <f t="shared" si="39"/>
        <v>110984.66666666667</v>
      </c>
      <c r="W109" s="38"/>
      <c r="X109" s="38"/>
      <c r="Y109" s="95">
        <v>0</v>
      </c>
      <c r="Z109" s="38"/>
      <c r="AA109" s="116" t="s">
        <v>178</v>
      </c>
    </row>
    <row r="110" spans="2:27">
      <c r="B110" s="41">
        <v>1006</v>
      </c>
      <c r="C110" s="102" t="s">
        <v>41</v>
      </c>
      <c r="D110" s="91"/>
      <c r="E110" s="91"/>
      <c r="F110" s="91"/>
      <c r="G110" s="91"/>
      <c r="H110" s="92" t="s">
        <v>0</v>
      </c>
      <c r="I110" s="92"/>
      <c r="J110" s="92" t="s">
        <v>0</v>
      </c>
      <c r="K110" s="92"/>
      <c r="L110" s="92" t="s">
        <v>0</v>
      </c>
      <c r="M110" s="91"/>
      <c r="N110" s="92" t="s">
        <v>0</v>
      </c>
      <c r="O110" s="91"/>
      <c r="P110" s="92">
        <f t="shared" si="40"/>
        <v>0</v>
      </c>
      <c r="Q110" s="102"/>
      <c r="R110" s="94">
        <f>SUM(F110:K110)</f>
        <v>0</v>
      </c>
      <c r="S110" s="102"/>
      <c r="T110" s="92">
        <v>6492</v>
      </c>
      <c r="U110" s="102"/>
      <c r="V110" s="95">
        <f t="shared" si="39"/>
        <v>6492</v>
      </c>
      <c r="W110" s="38"/>
      <c r="X110" s="38"/>
      <c r="Y110" s="95">
        <v>30000</v>
      </c>
      <c r="Z110" s="38"/>
      <c r="AA110" s="116">
        <f t="shared" si="41"/>
        <v>-30000</v>
      </c>
    </row>
    <row r="111" spans="2:27">
      <c r="B111" s="41">
        <v>1007</v>
      </c>
      <c r="C111" s="102" t="s">
        <v>42</v>
      </c>
      <c r="D111" s="91"/>
      <c r="E111" s="91"/>
      <c r="F111" s="91"/>
      <c r="G111" s="91"/>
      <c r="H111" s="92" t="s">
        <v>0</v>
      </c>
      <c r="I111" s="92"/>
      <c r="J111" s="92" t="s">
        <v>0</v>
      </c>
      <c r="K111" s="92"/>
      <c r="L111" s="92" t="s">
        <v>0</v>
      </c>
      <c r="M111" s="91"/>
      <c r="N111" s="92" t="s">
        <v>0</v>
      </c>
      <c r="O111" s="91"/>
      <c r="P111" s="92">
        <f t="shared" si="40"/>
        <v>0</v>
      </c>
      <c r="Q111" s="102"/>
      <c r="R111" s="94">
        <v>0</v>
      </c>
      <c r="S111" s="102"/>
      <c r="T111" s="92">
        <v>5023</v>
      </c>
      <c r="U111" s="102"/>
      <c r="V111" s="95">
        <f t="shared" si="39"/>
        <v>5023</v>
      </c>
      <c r="W111" s="38"/>
      <c r="X111" s="38"/>
      <c r="Y111" s="95">
        <v>20000</v>
      </c>
      <c r="Z111" s="38"/>
      <c r="AA111" s="116">
        <f t="shared" si="41"/>
        <v>-20000</v>
      </c>
    </row>
    <row r="112" spans="2:27">
      <c r="B112" s="41">
        <v>1008</v>
      </c>
      <c r="C112" s="102" t="s">
        <v>43</v>
      </c>
      <c r="D112" s="91"/>
      <c r="E112" s="91"/>
      <c r="F112" s="91"/>
      <c r="G112" s="91"/>
      <c r="H112" s="92" t="s">
        <v>0</v>
      </c>
      <c r="I112" s="92"/>
      <c r="J112" s="92" t="s">
        <v>0</v>
      </c>
      <c r="K112" s="92"/>
      <c r="L112" s="92" t="s">
        <v>0</v>
      </c>
      <c r="M112" s="91"/>
      <c r="N112" s="92" t="s">
        <v>0</v>
      </c>
      <c r="O112" s="91"/>
      <c r="P112" s="92">
        <f t="shared" si="40"/>
        <v>0</v>
      </c>
      <c r="Q112" s="102"/>
      <c r="R112" s="94">
        <f>SUM(F112:K112)</f>
        <v>0</v>
      </c>
      <c r="S112" s="102"/>
      <c r="T112" s="92">
        <f>SUM(H112:M112)</f>
        <v>0</v>
      </c>
      <c r="U112" s="102"/>
      <c r="V112" s="95">
        <f t="shared" si="39"/>
        <v>0</v>
      </c>
      <c r="W112" s="38"/>
      <c r="X112" s="38"/>
      <c r="Y112" s="95">
        <v>0</v>
      </c>
      <c r="Z112" s="38"/>
      <c r="AA112" s="116">
        <f t="shared" si="41"/>
        <v>0</v>
      </c>
    </row>
    <row r="113" spans="2:27">
      <c r="B113" s="42">
        <v>1009</v>
      </c>
      <c r="C113" s="19" t="s">
        <v>44</v>
      </c>
      <c r="H113" s="33" t="s">
        <v>0</v>
      </c>
      <c r="I113" s="29"/>
      <c r="J113" s="33" t="s">
        <v>0</v>
      </c>
      <c r="K113" s="29"/>
      <c r="L113" s="33" t="s">
        <v>0</v>
      </c>
      <c r="N113" s="33" t="s">
        <v>0</v>
      </c>
      <c r="P113" s="33">
        <f>SUM(H113:N113)</f>
        <v>0</v>
      </c>
      <c r="Q113" s="19"/>
      <c r="R113" s="81">
        <f>SUM(F113:K113)</f>
        <v>0</v>
      </c>
      <c r="S113" s="19"/>
      <c r="T113" s="33">
        <v>1800</v>
      </c>
      <c r="U113" s="19"/>
      <c r="V113" s="88">
        <f t="shared" si="39"/>
        <v>1800</v>
      </c>
      <c r="W113" s="18"/>
      <c r="X113" s="18"/>
      <c r="Y113" s="88">
        <v>50000</v>
      </c>
      <c r="Z113" s="18"/>
      <c r="AA113" s="116">
        <f t="shared" si="41"/>
        <v>-50000</v>
      </c>
    </row>
    <row r="114" spans="2:27">
      <c r="B114" s="18"/>
      <c r="C114" s="42"/>
      <c r="D114" s="5"/>
      <c r="H114" s="52">
        <f>SUM(H105:H113)</f>
        <v>3364000</v>
      </c>
      <c r="I114" s="52"/>
      <c r="J114" s="52">
        <f>SUM(J105:J113)</f>
        <v>2938000</v>
      </c>
      <c r="K114" s="52"/>
      <c r="L114" s="52">
        <f>SUM(L105:L113)</f>
        <v>787000</v>
      </c>
      <c r="N114" s="52">
        <f>SUM(N105:N113)</f>
        <v>83000</v>
      </c>
      <c r="P114" s="57">
        <f>SUM(H114:N114)</f>
        <v>7172000</v>
      </c>
      <c r="Q114" s="19"/>
      <c r="R114" s="82">
        <f>SUM(R103:R113)</f>
        <v>1060554</v>
      </c>
      <c r="S114" s="19"/>
      <c r="T114" s="52">
        <f>SUM(T103:T113)</f>
        <v>1900912</v>
      </c>
      <c r="U114" s="19"/>
      <c r="V114" s="52">
        <f>SUM(V103:V113)</f>
        <v>2077670.9999999998</v>
      </c>
      <c r="W114" s="18"/>
      <c r="X114" s="18"/>
      <c r="Y114" s="52">
        <f>SUM(Y103:Y113)</f>
        <v>7336623.5294117648</v>
      </c>
      <c r="Z114" s="18"/>
      <c r="AA114" s="127">
        <f>SUM(AA103:AA113)</f>
        <v>-364623.5294117647</v>
      </c>
    </row>
    <row r="115" spans="2:27">
      <c r="B115" s="18"/>
      <c r="C115" s="42"/>
      <c r="D115" s="5"/>
      <c r="H115" s="6"/>
      <c r="I115" s="5"/>
      <c r="L115" s="6"/>
      <c r="P115" s="6"/>
      <c r="Q115" s="5"/>
      <c r="R115" s="79"/>
      <c r="S115" s="5"/>
      <c r="T115" s="6"/>
      <c r="U115" s="5"/>
      <c r="W115" s="18"/>
      <c r="X115" s="18"/>
      <c r="Z115" s="18"/>
      <c r="AA115" s="5"/>
    </row>
    <row r="116" spans="2:27">
      <c r="B116" s="35" t="s">
        <v>60</v>
      </c>
      <c r="C116" s="40"/>
      <c r="D116" s="14"/>
      <c r="H116" s="33">
        <v>329000</v>
      </c>
      <c r="I116" s="29"/>
      <c r="J116" s="33">
        <v>74000</v>
      </c>
      <c r="K116" s="29"/>
      <c r="L116" s="33">
        <v>106000</v>
      </c>
      <c r="N116" s="33">
        <v>0</v>
      </c>
      <c r="P116" s="33">
        <f>SUM(H116:N116)</f>
        <v>509000</v>
      </c>
      <c r="Q116" s="23"/>
      <c r="R116" s="81">
        <f>479716+111684</f>
        <v>591400</v>
      </c>
      <c r="S116" s="23"/>
      <c r="T116" s="33">
        <v>1530850</v>
      </c>
      <c r="U116" s="23"/>
      <c r="V116" s="88">
        <f t="shared" ref="V116" si="42">(R116/$V$11)+T116</f>
        <v>1629416.6666666667</v>
      </c>
      <c r="W116" s="18"/>
      <c r="X116" s="18"/>
      <c r="Y116" s="88">
        <v>3000000</v>
      </c>
      <c r="Z116" s="18"/>
      <c r="AA116" s="117">
        <f>P116-400000-Y116</f>
        <v>-2891000</v>
      </c>
    </row>
    <row r="117" spans="2:27">
      <c r="H117" s="52">
        <f>SUM(H116:H116)</f>
        <v>329000</v>
      </c>
      <c r="I117" s="52"/>
      <c r="J117" s="52">
        <f>SUM(J116:J116)</f>
        <v>74000</v>
      </c>
      <c r="K117" s="52"/>
      <c r="L117" s="52">
        <f>SUM(L116:L116)</f>
        <v>106000</v>
      </c>
      <c r="N117" s="52">
        <f>SUM(N116:N116)</f>
        <v>0</v>
      </c>
      <c r="P117" s="57">
        <f>SUM(H117:N117)</f>
        <v>509000</v>
      </c>
      <c r="Q117" s="5"/>
      <c r="R117" s="82">
        <f>SUM(R116:R116)</f>
        <v>591400</v>
      </c>
      <c r="S117" s="5"/>
      <c r="T117" s="52">
        <f>SUM(T116:T116)</f>
        <v>1530850</v>
      </c>
      <c r="U117" s="5"/>
      <c r="V117" s="52">
        <f>SUM(V116:V116)</f>
        <v>1629416.6666666667</v>
      </c>
      <c r="W117" s="18"/>
      <c r="X117" s="18"/>
      <c r="Y117" s="52">
        <f>SUM(Y116:Y116)</f>
        <v>3000000</v>
      </c>
      <c r="Z117" s="18"/>
      <c r="AA117" s="127">
        <f>+AA116</f>
        <v>-2891000</v>
      </c>
    </row>
    <row r="118" spans="2:27">
      <c r="E118" s="77" t="s">
        <v>122</v>
      </c>
      <c r="H118" s="52"/>
      <c r="I118" s="52"/>
      <c r="J118" s="52"/>
      <c r="K118" s="52"/>
      <c r="L118" s="52"/>
      <c r="N118" s="52"/>
      <c r="P118" s="52"/>
      <c r="Q118" s="5"/>
      <c r="R118" s="82"/>
      <c r="S118" s="5"/>
      <c r="T118" s="52"/>
      <c r="U118" s="5"/>
      <c r="V118" s="52"/>
      <c r="W118" s="77" t="s">
        <v>122</v>
      </c>
      <c r="Y118" s="52"/>
      <c r="AA118" s="52"/>
    </row>
    <row r="119" spans="2:27">
      <c r="B119" s="35" t="s">
        <v>68</v>
      </c>
      <c r="C119" s="40"/>
      <c r="D119" s="14"/>
      <c r="E119" s="72">
        <f>(+P$123+P$130)</f>
        <v>3921000</v>
      </c>
      <c r="F119" s="73">
        <f>E119/(P183-P167-P181)</f>
        <v>7.6997429373759349E-2</v>
      </c>
      <c r="H119" s="29"/>
      <c r="I119" s="29"/>
      <c r="J119" s="29"/>
      <c r="K119" s="29"/>
      <c r="L119" s="29"/>
      <c r="N119" s="29"/>
      <c r="P119" s="29"/>
      <c r="Q119" s="5"/>
      <c r="R119" s="82"/>
      <c r="S119" s="5"/>
      <c r="T119" s="29"/>
      <c r="U119" s="5"/>
      <c r="V119" s="29"/>
      <c r="W119" s="72">
        <f>(+V$123+V$130)</f>
        <v>1482322.8333333335</v>
      </c>
      <c r="X119" s="73">
        <f>W119/(V183-V167-V181)</f>
        <v>9.1364340489186624E-2</v>
      </c>
      <c r="Y119" s="29"/>
      <c r="Z119" s="73"/>
      <c r="AA119" s="29"/>
    </row>
    <row r="120" spans="2:27">
      <c r="B120" s="125">
        <v>1290</v>
      </c>
      <c r="C120" s="42" t="s">
        <v>109</v>
      </c>
      <c r="D120" s="5"/>
      <c r="H120" s="29" t="s">
        <v>107</v>
      </c>
      <c r="I120" s="29"/>
      <c r="J120" s="29" t="s">
        <v>107</v>
      </c>
      <c r="K120" s="29"/>
      <c r="L120" s="29" t="s">
        <v>107</v>
      </c>
      <c r="N120" s="29" t="s">
        <v>107</v>
      </c>
      <c r="P120" s="29" t="s">
        <v>107</v>
      </c>
      <c r="Q120" s="5"/>
      <c r="R120" s="82">
        <v>0</v>
      </c>
      <c r="S120" s="5"/>
      <c r="T120" s="29">
        <v>13835</v>
      </c>
      <c r="U120" s="5"/>
      <c r="V120" s="79">
        <f t="shared" ref="V120:V122" si="43">(R120/$V$11)+T120</f>
        <v>13835</v>
      </c>
      <c r="W120" s="78">
        <f>W119/$E119</f>
        <v>0.37804713933520362</v>
      </c>
      <c r="X120" s="18"/>
      <c r="Y120" s="88">
        <f>T120/$F$188</f>
        <v>40691.176470588231</v>
      </c>
      <c r="Z120" s="18"/>
      <c r="AA120" s="115">
        <f>0-Y120</f>
        <v>-40691.176470588231</v>
      </c>
    </row>
    <row r="121" spans="2:27">
      <c r="B121" s="41">
        <v>1201</v>
      </c>
      <c r="C121" s="91" t="s">
        <v>29</v>
      </c>
      <c r="D121" s="91"/>
      <c r="E121" s="91"/>
      <c r="F121" s="91"/>
      <c r="G121" s="91"/>
      <c r="H121" s="92">
        <v>615000</v>
      </c>
      <c r="I121" s="92"/>
      <c r="J121" s="92">
        <v>450000</v>
      </c>
      <c r="K121" s="92"/>
      <c r="L121" s="92">
        <v>120000</v>
      </c>
      <c r="M121" s="91"/>
      <c r="N121" s="92">
        <v>50000</v>
      </c>
      <c r="O121" s="91"/>
      <c r="P121" s="92">
        <f t="shared" ref="P121" si="44">SUM(H121:N121)</f>
        <v>1235000</v>
      </c>
      <c r="Q121" s="93"/>
      <c r="R121" s="94">
        <v>0</v>
      </c>
      <c r="S121" s="93"/>
      <c r="T121" s="92">
        <v>903119</v>
      </c>
      <c r="U121" s="93"/>
      <c r="V121" s="95">
        <f t="shared" si="43"/>
        <v>903119</v>
      </c>
      <c r="W121" s="38"/>
      <c r="X121" s="38"/>
      <c r="Y121" s="95">
        <v>1500000</v>
      </c>
      <c r="Z121" s="38"/>
      <c r="AA121" s="116">
        <f>P121-Y121</f>
        <v>-265000</v>
      </c>
    </row>
    <row r="122" spans="2:27">
      <c r="B122" s="39">
        <v>1202</v>
      </c>
      <c r="C122" s="6" t="s">
        <v>30</v>
      </c>
      <c r="H122" s="33">
        <v>225000</v>
      </c>
      <c r="I122" s="29"/>
      <c r="J122" s="33">
        <v>60000</v>
      </c>
      <c r="K122" s="29"/>
      <c r="L122" s="33">
        <v>0</v>
      </c>
      <c r="N122" s="33">
        <v>0</v>
      </c>
      <c r="P122" s="33">
        <f>SUM(H122:N122)</f>
        <v>285000</v>
      </c>
      <c r="Q122" s="23"/>
      <c r="R122" s="81">
        <v>47945</v>
      </c>
      <c r="S122" s="23"/>
      <c r="T122" s="33">
        <v>0</v>
      </c>
      <c r="U122" s="23"/>
      <c r="V122" s="88">
        <f t="shared" si="43"/>
        <v>7990.833333333333</v>
      </c>
      <c r="W122" s="18"/>
      <c r="X122" s="18"/>
      <c r="Y122" s="88">
        <v>0</v>
      </c>
      <c r="Z122" s="18"/>
      <c r="AA122" s="117" t="s">
        <v>178</v>
      </c>
    </row>
    <row r="123" spans="2:27">
      <c r="H123" s="52">
        <f>SUM(H121:H122)</f>
        <v>840000</v>
      </c>
      <c r="I123" s="52"/>
      <c r="J123" s="52">
        <f>SUM(J121:J122)</f>
        <v>510000</v>
      </c>
      <c r="K123" s="52"/>
      <c r="L123" s="52">
        <f>SUM(L121:L122)</f>
        <v>120000</v>
      </c>
      <c r="N123" s="52">
        <f>SUM(N121:N122)</f>
        <v>50000</v>
      </c>
      <c r="P123" s="57">
        <f>SUM(H123:N123)</f>
        <v>1520000</v>
      </c>
      <c r="Q123" s="23"/>
      <c r="R123" s="82">
        <f>SUM(R120:R122)</f>
        <v>47945</v>
      </c>
      <c r="S123" s="23"/>
      <c r="T123" s="52">
        <f>SUM(T120:T122)</f>
        <v>916954</v>
      </c>
      <c r="U123" s="23"/>
      <c r="V123" s="52">
        <f>SUM(V120:V122)</f>
        <v>924944.83333333337</v>
      </c>
      <c r="W123" s="5"/>
      <c r="X123" s="18"/>
      <c r="Y123" s="52">
        <f>SUM(Y120:Y122)</f>
        <v>1540691.1764705882</v>
      </c>
      <c r="Z123" s="18"/>
      <c r="AA123" s="121">
        <f>SUM(AA120:AA122)</f>
        <v>-305691.17647058825</v>
      </c>
    </row>
    <row r="124" spans="2:27">
      <c r="I124" s="18"/>
      <c r="J124" s="13"/>
      <c r="K124" s="13"/>
      <c r="N124" s="13"/>
      <c r="Q124" s="5"/>
      <c r="R124" s="79"/>
      <c r="S124" s="5"/>
      <c r="U124" s="5"/>
      <c r="V124" s="13"/>
      <c r="W124" s="18"/>
      <c r="X124" s="18"/>
      <c r="Y124" s="13"/>
      <c r="Z124" s="18"/>
      <c r="AA124" s="13"/>
    </row>
    <row r="125" spans="2:27">
      <c r="B125" s="35" t="s">
        <v>69</v>
      </c>
      <c r="C125" s="40"/>
      <c r="D125" s="14"/>
      <c r="H125" s="29"/>
      <c r="I125" s="29"/>
      <c r="J125" s="29"/>
      <c r="K125" s="29"/>
      <c r="L125" s="29"/>
      <c r="N125" s="29"/>
      <c r="P125" s="29"/>
      <c r="Q125" s="5"/>
      <c r="R125" s="82"/>
      <c r="S125" s="5"/>
      <c r="T125" s="29"/>
      <c r="U125" s="5"/>
      <c r="V125" s="29"/>
      <c r="W125" s="18"/>
      <c r="X125" s="18"/>
      <c r="Y125" s="29"/>
      <c r="Z125" s="18"/>
      <c r="AA125" s="29"/>
    </row>
    <row r="126" spans="2:27">
      <c r="B126" s="125">
        <v>1390</v>
      </c>
      <c r="C126" s="42" t="s">
        <v>108</v>
      </c>
      <c r="D126" s="5"/>
      <c r="H126" s="29" t="s">
        <v>107</v>
      </c>
      <c r="I126" s="29"/>
      <c r="J126" s="29" t="s">
        <v>107</v>
      </c>
      <c r="K126" s="29"/>
      <c r="L126" s="29" t="s">
        <v>107</v>
      </c>
      <c r="N126" s="29" t="s">
        <v>107</v>
      </c>
      <c r="P126" s="29" t="s">
        <v>107</v>
      </c>
      <c r="Q126" s="5"/>
      <c r="R126" s="82">
        <v>0</v>
      </c>
      <c r="S126" s="5"/>
      <c r="T126" s="29">
        <v>324879</v>
      </c>
      <c r="U126" s="5"/>
      <c r="V126" s="79">
        <f t="shared" ref="V126:V129" si="45">(R126/$V$11)+T126</f>
        <v>324879</v>
      </c>
      <c r="W126" s="18"/>
      <c r="X126" s="18"/>
      <c r="Y126" s="88">
        <f>T126/$F$188</f>
        <v>955526.47058823518</v>
      </c>
      <c r="Z126" s="18"/>
      <c r="AA126" s="115">
        <f>0-Y126</f>
        <v>-955526.47058823518</v>
      </c>
    </row>
    <row r="127" spans="2:27">
      <c r="B127" s="38"/>
      <c r="C127" s="41" t="s">
        <v>111</v>
      </c>
      <c r="D127" s="91"/>
      <c r="E127" s="91"/>
      <c r="F127" s="91"/>
      <c r="G127" s="91"/>
      <c r="H127" s="92" t="s">
        <v>107</v>
      </c>
      <c r="I127" s="92"/>
      <c r="J127" s="92" t="s">
        <v>107</v>
      </c>
      <c r="K127" s="92"/>
      <c r="L127" s="92" t="s">
        <v>107</v>
      </c>
      <c r="M127" s="91"/>
      <c r="N127" s="92" t="s">
        <v>107</v>
      </c>
      <c r="O127" s="91"/>
      <c r="P127" s="92" t="s">
        <v>107</v>
      </c>
      <c r="Q127" s="91"/>
      <c r="R127" s="94">
        <v>0</v>
      </c>
      <c r="S127" s="91"/>
      <c r="T127" s="92">
        <f>57007+3990+28840</f>
        <v>89837</v>
      </c>
      <c r="U127" s="91"/>
      <c r="V127" s="95">
        <f t="shared" si="45"/>
        <v>89837</v>
      </c>
      <c r="W127" s="38"/>
      <c r="X127" s="38"/>
      <c r="Y127" s="88">
        <f>T127/$F$188</f>
        <v>264226.4705882353</v>
      </c>
      <c r="Z127" s="38"/>
      <c r="AA127" s="116">
        <f>0-Y127</f>
        <v>-264226.4705882353</v>
      </c>
    </row>
    <row r="128" spans="2:27">
      <c r="B128" s="41">
        <v>1310</v>
      </c>
      <c r="C128" s="91" t="s">
        <v>71</v>
      </c>
      <c r="D128" s="91"/>
      <c r="E128" s="91"/>
      <c r="F128" s="91"/>
      <c r="G128" s="91"/>
      <c r="H128" s="92">
        <v>1282000</v>
      </c>
      <c r="I128" s="92"/>
      <c r="J128" s="92">
        <v>625000</v>
      </c>
      <c r="K128" s="92"/>
      <c r="L128" s="92">
        <v>160000</v>
      </c>
      <c r="M128" s="91"/>
      <c r="N128" s="92">
        <v>0</v>
      </c>
      <c r="O128" s="91"/>
      <c r="P128" s="92">
        <f t="shared" ref="P128" si="46">SUM(H128:N128)</f>
        <v>2067000</v>
      </c>
      <c r="Q128" s="93"/>
      <c r="R128" s="94">
        <v>0</v>
      </c>
      <c r="S128" s="93"/>
      <c r="T128" s="92">
        <v>135053</v>
      </c>
      <c r="U128" s="93"/>
      <c r="V128" s="95">
        <f t="shared" si="45"/>
        <v>135053</v>
      </c>
      <c r="W128" s="38"/>
      <c r="X128" s="38"/>
      <c r="Y128" s="95">
        <v>600000</v>
      </c>
      <c r="Z128" s="38"/>
      <c r="AA128" s="116">
        <f>P128-Y128</f>
        <v>1467000</v>
      </c>
    </row>
    <row r="129" spans="2:27">
      <c r="B129" s="39">
        <v>1320</v>
      </c>
      <c r="C129" s="6" t="s">
        <v>5</v>
      </c>
      <c r="H129" s="33">
        <v>276000</v>
      </c>
      <c r="I129" s="29"/>
      <c r="J129" s="33">
        <v>0</v>
      </c>
      <c r="K129" s="29"/>
      <c r="L129" s="33">
        <v>58000</v>
      </c>
      <c r="N129" s="33">
        <v>0</v>
      </c>
      <c r="P129" s="33">
        <f>SUM(H129:N129)</f>
        <v>334000</v>
      </c>
      <c r="Q129" s="23"/>
      <c r="R129" s="81">
        <v>45654</v>
      </c>
      <c r="S129" s="23"/>
      <c r="T129" s="33">
        <v>0</v>
      </c>
      <c r="U129" s="23"/>
      <c r="V129" s="88">
        <f t="shared" si="45"/>
        <v>7609</v>
      </c>
      <c r="W129" s="18"/>
      <c r="X129" s="18"/>
      <c r="Y129" s="88">
        <f t="shared" ref="Y129" si="47">(U129/$V$11)+W129</f>
        <v>0</v>
      </c>
      <c r="Z129" s="18"/>
      <c r="AA129" s="117" t="s">
        <v>178</v>
      </c>
    </row>
    <row r="130" spans="2:27">
      <c r="D130" s="6" t="s">
        <v>0</v>
      </c>
      <c r="H130" s="52">
        <f>SUM(H128:H129)</f>
        <v>1558000</v>
      </c>
      <c r="I130" s="52"/>
      <c r="J130" s="52">
        <f>SUM(J128:J129)</f>
        <v>625000</v>
      </c>
      <c r="K130" s="52"/>
      <c r="L130" s="52">
        <f>SUM(L128:L129)</f>
        <v>218000</v>
      </c>
      <c r="N130" s="52">
        <f>SUM(N128:N129)</f>
        <v>0</v>
      </c>
      <c r="P130" s="57">
        <f>SUM(H130:N130)</f>
        <v>2401000</v>
      </c>
      <c r="Q130" s="23"/>
      <c r="R130" s="82">
        <f>SUM(R126:R129)</f>
        <v>45654</v>
      </c>
      <c r="S130" s="23"/>
      <c r="T130" s="52">
        <f>SUM(T126:T129)</f>
        <v>549769</v>
      </c>
      <c r="U130" s="23"/>
      <c r="V130" s="52">
        <f>SUM(V126:V129)</f>
        <v>557378</v>
      </c>
      <c r="W130" s="18"/>
      <c r="X130" s="18"/>
      <c r="Y130" s="52">
        <f>SUM(Y126:Y129)</f>
        <v>1819752.9411764704</v>
      </c>
      <c r="Z130" s="18"/>
      <c r="AA130" s="52">
        <f>SUM(AA126:AA129)</f>
        <v>247247.05882352963</v>
      </c>
    </row>
    <row r="131" spans="2:27">
      <c r="H131" s="6"/>
      <c r="I131" s="5"/>
      <c r="L131" s="6"/>
      <c r="P131" s="6"/>
      <c r="Q131" s="5"/>
      <c r="R131" s="79"/>
      <c r="S131" s="5"/>
      <c r="T131" s="6"/>
      <c r="U131" s="5"/>
      <c r="W131" s="18"/>
      <c r="X131" s="18"/>
      <c r="Z131" s="18"/>
    </row>
    <row r="132" spans="2:27">
      <c r="B132" s="35" t="s">
        <v>73</v>
      </c>
      <c r="C132" s="40"/>
      <c r="D132" s="14"/>
      <c r="H132" s="29">
        <v>916000</v>
      </c>
      <c r="I132" s="29"/>
      <c r="J132" s="29">
        <v>211000</v>
      </c>
      <c r="K132" s="29"/>
      <c r="L132" s="29">
        <v>127000</v>
      </c>
      <c r="N132" s="29">
        <v>0</v>
      </c>
      <c r="P132" s="30">
        <f t="shared" ref="P132" si="48">SUM(H132:N132)</f>
        <v>1254000</v>
      </c>
      <c r="Q132" s="5"/>
      <c r="R132" s="80">
        <f>631656+255789</f>
        <v>887445</v>
      </c>
      <c r="S132" s="5"/>
      <c r="T132" s="30">
        <v>54648</v>
      </c>
      <c r="U132" s="5"/>
      <c r="V132" s="79">
        <f t="shared" ref="V132:V133" si="49">(R132/$V$11)+T132</f>
        <v>202555.5</v>
      </c>
      <c r="W132" s="18"/>
      <c r="X132" s="18"/>
      <c r="Y132" s="128">
        <f>T132/$F$188</f>
        <v>160729.41176470587</v>
      </c>
      <c r="Z132" s="18"/>
      <c r="AA132" s="115">
        <f>0-Y132</f>
        <v>-160729.41176470587</v>
      </c>
    </row>
    <row r="133" spans="2:27">
      <c r="B133" s="39">
        <v>1410</v>
      </c>
      <c r="D133" s="6" t="s">
        <v>74</v>
      </c>
      <c r="H133" s="33">
        <v>25000</v>
      </c>
      <c r="I133" s="29"/>
      <c r="J133" s="33">
        <v>0</v>
      </c>
      <c r="K133" s="29"/>
      <c r="L133" s="33">
        <v>0</v>
      </c>
      <c r="N133" s="33">
        <v>0</v>
      </c>
      <c r="P133" s="33">
        <f>SUM(H133:N133)</f>
        <v>25000</v>
      </c>
      <c r="Q133" s="23"/>
      <c r="R133" s="81">
        <v>0</v>
      </c>
      <c r="S133" s="23"/>
      <c r="T133" s="33">
        <v>0</v>
      </c>
      <c r="U133" s="23"/>
      <c r="V133" s="88">
        <f t="shared" si="49"/>
        <v>0</v>
      </c>
      <c r="W133" s="18"/>
      <c r="X133" s="18"/>
      <c r="Y133" s="88">
        <v>0</v>
      </c>
      <c r="Z133" s="18"/>
      <c r="AA133" s="117" t="s">
        <v>178</v>
      </c>
    </row>
    <row r="134" spans="2:27">
      <c r="D134" s="6" t="s">
        <v>0</v>
      </c>
      <c r="H134" s="52">
        <f>SUM(H132:H133)</f>
        <v>941000</v>
      </c>
      <c r="I134" s="52"/>
      <c r="J134" s="52">
        <f>SUM(J132:J133)</f>
        <v>211000</v>
      </c>
      <c r="K134" s="52"/>
      <c r="L134" s="52">
        <f>SUM(L132:L133)</f>
        <v>127000</v>
      </c>
      <c r="N134" s="52">
        <f>SUM(N132:N133)</f>
        <v>0</v>
      </c>
      <c r="P134" s="57">
        <f>SUM(H134:N134)</f>
        <v>1279000</v>
      </c>
      <c r="Q134" s="23"/>
      <c r="R134" s="82">
        <f>SUM(R132:R133)</f>
        <v>887445</v>
      </c>
      <c r="S134" s="23"/>
      <c r="T134" s="52">
        <f>SUM(T132:T133)</f>
        <v>54648</v>
      </c>
      <c r="U134" s="23"/>
      <c r="V134" s="52">
        <f>SUM(V132:V133)</f>
        <v>202555.5</v>
      </c>
      <c r="W134" s="18"/>
      <c r="X134" s="18"/>
      <c r="Y134" s="52">
        <f>SUM(Y132:Y133)</f>
        <v>160729.41176470587</v>
      </c>
      <c r="Z134" s="18"/>
      <c r="AA134" s="121">
        <f>SUM(AA132:AA133)</f>
        <v>-160729.41176470587</v>
      </c>
    </row>
    <row r="135" spans="2:27">
      <c r="H135" s="29" t="s">
        <v>0</v>
      </c>
      <c r="I135" s="29"/>
      <c r="J135" s="29" t="s">
        <v>0</v>
      </c>
      <c r="K135" s="29"/>
      <c r="L135" s="29" t="s">
        <v>0</v>
      </c>
      <c r="N135" s="29" t="s">
        <v>0</v>
      </c>
      <c r="P135" s="29" t="s">
        <v>0</v>
      </c>
      <c r="Q135" s="5"/>
      <c r="R135" s="82" t="s">
        <v>0</v>
      </c>
      <c r="S135" s="5"/>
      <c r="T135" s="29" t="s">
        <v>0</v>
      </c>
      <c r="U135" s="5"/>
      <c r="V135" s="29" t="s">
        <v>0</v>
      </c>
      <c r="W135" s="18"/>
      <c r="X135" s="18"/>
      <c r="Y135" s="29" t="s">
        <v>0</v>
      </c>
      <c r="Z135" s="18"/>
      <c r="AA135" s="29" t="s">
        <v>0</v>
      </c>
    </row>
    <row r="136" spans="2:27">
      <c r="B136" s="35" t="s">
        <v>72</v>
      </c>
      <c r="C136" s="40"/>
      <c r="D136" s="14"/>
      <c r="G136" s="37"/>
      <c r="H136" s="29"/>
      <c r="I136" s="29"/>
      <c r="J136" s="29"/>
      <c r="K136" s="29"/>
      <c r="L136" s="29"/>
      <c r="N136" s="29"/>
      <c r="P136" s="29"/>
      <c r="Q136" s="5"/>
      <c r="R136" s="82"/>
      <c r="S136" s="5"/>
      <c r="T136" s="29"/>
      <c r="U136" s="5"/>
      <c r="V136" s="29"/>
      <c r="W136" s="18"/>
      <c r="X136" s="18"/>
      <c r="Y136" s="29"/>
      <c r="Z136" s="18"/>
      <c r="AA136" s="29"/>
    </row>
    <row r="137" spans="2:27">
      <c r="B137" s="39">
        <v>1501</v>
      </c>
      <c r="C137" s="6" t="s">
        <v>31</v>
      </c>
      <c r="F137" s="36" t="s">
        <v>0</v>
      </c>
      <c r="G137" s="18"/>
      <c r="H137" s="29">
        <v>450000</v>
      </c>
      <c r="I137" s="29"/>
      <c r="J137" s="29">
        <v>225000</v>
      </c>
      <c r="K137" s="29"/>
      <c r="L137" s="29">
        <v>0</v>
      </c>
      <c r="N137" s="29">
        <v>0</v>
      </c>
      <c r="P137" s="30">
        <f t="shared" ref="P137:P144" si="50">SUM(H137:N137)</f>
        <v>675000</v>
      </c>
      <c r="Q137" s="23"/>
      <c r="R137" s="80">
        <v>0</v>
      </c>
      <c r="S137" s="23"/>
      <c r="T137" s="30">
        <v>0</v>
      </c>
      <c r="U137" s="23"/>
      <c r="V137" s="79">
        <f t="shared" ref="V137:V145" si="51">(R137/$V$11)+T137</f>
        <v>0</v>
      </c>
      <c r="W137" s="18"/>
      <c r="X137" s="18"/>
      <c r="Y137" s="79">
        <v>300000</v>
      </c>
      <c r="Z137" s="18"/>
      <c r="AA137" s="117">
        <f t="shared" ref="AA137:AA146" si="52">P137-Y137</f>
        <v>375000</v>
      </c>
    </row>
    <row r="138" spans="2:27">
      <c r="B138" s="41">
        <v>1502</v>
      </c>
      <c r="C138" s="91" t="s">
        <v>32</v>
      </c>
      <c r="D138" s="91"/>
      <c r="E138" s="91"/>
      <c r="F138" s="103" t="s">
        <v>0</v>
      </c>
      <c r="G138" s="103"/>
      <c r="H138" s="92">
        <v>30000</v>
      </c>
      <c r="I138" s="92"/>
      <c r="J138" s="92">
        <v>0</v>
      </c>
      <c r="K138" s="92"/>
      <c r="L138" s="92">
        <v>0</v>
      </c>
      <c r="M138" s="91"/>
      <c r="N138" s="92">
        <v>0</v>
      </c>
      <c r="O138" s="91"/>
      <c r="P138" s="92">
        <f t="shared" si="50"/>
        <v>30000</v>
      </c>
      <c r="Q138" s="93"/>
      <c r="R138" s="94">
        <v>0</v>
      </c>
      <c r="S138" s="93"/>
      <c r="T138" s="92">
        <v>0</v>
      </c>
      <c r="U138" s="93"/>
      <c r="V138" s="95">
        <f t="shared" si="51"/>
        <v>0</v>
      </c>
      <c r="W138" s="38"/>
      <c r="X138" s="38"/>
      <c r="Y138" s="95">
        <v>30000</v>
      </c>
      <c r="Z138" s="38"/>
      <c r="AA138" s="116">
        <f t="shared" si="52"/>
        <v>0</v>
      </c>
    </row>
    <row r="139" spans="2:27">
      <c r="B139" s="41">
        <v>1503</v>
      </c>
      <c r="C139" s="91" t="s">
        <v>33</v>
      </c>
      <c r="D139" s="91"/>
      <c r="E139" s="91"/>
      <c r="F139" s="103" t="s">
        <v>0</v>
      </c>
      <c r="G139" s="103"/>
      <c r="H139" s="92">
        <v>0</v>
      </c>
      <c r="I139" s="92"/>
      <c r="J139" s="92">
        <v>0</v>
      </c>
      <c r="K139" s="92"/>
      <c r="L139" s="92">
        <v>60000</v>
      </c>
      <c r="M139" s="91"/>
      <c r="N139" s="92">
        <v>0</v>
      </c>
      <c r="O139" s="91"/>
      <c r="P139" s="92">
        <f t="shared" si="50"/>
        <v>60000</v>
      </c>
      <c r="Q139" s="93"/>
      <c r="R139" s="94">
        <v>0</v>
      </c>
      <c r="S139" s="93"/>
      <c r="T139" s="92">
        <v>0</v>
      </c>
      <c r="U139" s="93"/>
      <c r="V139" s="95">
        <f t="shared" si="51"/>
        <v>0</v>
      </c>
      <c r="W139" s="38"/>
      <c r="X139" s="38"/>
      <c r="Y139" s="95">
        <v>60000</v>
      </c>
      <c r="Z139" s="38"/>
      <c r="AA139" s="116">
        <f t="shared" si="52"/>
        <v>0</v>
      </c>
    </row>
    <row r="140" spans="2:27">
      <c r="B140" s="41">
        <v>1504</v>
      </c>
      <c r="C140" s="91" t="s">
        <v>75</v>
      </c>
      <c r="D140" s="91"/>
      <c r="E140" s="91"/>
      <c r="F140" s="103" t="s">
        <v>0</v>
      </c>
      <c r="G140" s="103"/>
      <c r="H140" s="92">
        <v>0</v>
      </c>
      <c r="I140" s="92"/>
      <c r="J140" s="92">
        <v>0</v>
      </c>
      <c r="K140" s="92"/>
      <c r="L140" s="92">
        <v>0</v>
      </c>
      <c r="M140" s="91"/>
      <c r="N140" s="92">
        <v>0</v>
      </c>
      <c r="O140" s="91"/>
      <c r="P140" s="92">
        <f t="shared" si="50"/>
        <v>0</v>
      </c>
      <c r="Q140" s="93"/>
      <c r="R140" s="94">
        <f>SUM(F140:K140)</f>
        <v>0</v>
      </c>
      <c r="S140" s="93"/>
      <c r="T140" s="92">
        <f>SUM(H140:M140)</f>
        <v>0</v>
      </c>
      <c r="U140" s="93"/>
      <c r="V140" s="95">
        <f t="shared" si="51"/>
        <v>0</v>
      </c>
      <c r="W140" s="38"/>
      <c r="X140" s="38"/>
      <c r="Y140" s="95">
        <v>0</v>
      </c>
      <c r="Z140" s="38"/>
      <c r="AA140" s="116">
        <f t="shared" si="52"/>
        <v>0</v>
      </c>
    </row>
    <row r="141" spans="2:27">
      <c r="B141" s="41">
        <v>1505</v>
      </c>
      <c r="C141" s="91" t="s">
        <v>9</v>
      </c>
      <c r="D141" s="91"/>
      <c r="E141" s="91"/>
      <c r="F141" s="103" t="s">
        <v>0</v>
      </c>
      <c r="G141" s="103"/>
      <c r="H141" s="92">
        <v>60000</v>
      </c>
      <c r="I141" s="92"/>
      <c r="J141" s="92">
        <v>60000</v>
      </c>
      <c r="K141" s="92"/>
      <c r="L141" s="92">
        <v>0</v>
      </c>
      <c r="M141" s="91"/>
      <c r="N141" s="92">
        <v>0</v>
      </c>
      <c r="O141" s="91"/>
      <c r="P141" s="92">
        <f t="shared" si="50"/>
        <v>120000</v>
      </c>
      <c r="Q141" s="93"/>
      <c r="R141" s="94">
        <v>0</v>
      </c>
      <c r="S141" s="93"/>
      <c r="T141" s="92">
        <v>0</v>
      </c>
      <c r="U141" s="93"/>
      <c r="V141" s="95">
        <f t="shared" si="51"/>
        <v>0</v>
      </c>
      <c r="W141" s="38"/>
      <c r="X141" s="38"/>
      <c r="Y141" s="95">
        <v>120000</v>
      </c>
      <c r="Z141" s="38"/>
      <c r="AA141" s="116">
        <f t="shared" si="52"/>
        <v>0</v>
      </c>
    </row>
    <row r="142" spans="2:27">
      <c r="B142" s="41">
        <v>1506</v>
      </c>
      <c r="C142" s="91" t="s">
        <v>76</v>
      </c>
      <c r="D142" s="91"/>
      <c r="E142" s="91"/>
      <c r="F142" s="103" t="s">
        <v>0</v>
      </c>
      <c r="G142" s="103"/>
      <c r="H142" s="92">
        <v>240000</v>
      </c>
      <c r="I142" s="92"/>
      <c r="J142" s="92">
        <v>0</v>
      </c>
      <c r="K142" s="92"/>
      <c r="L142" s="92">
        <v>0</v>
      </c>
      <c r="M142" s="91"/>
      <c r="N142" s="92">
        <v>0</v>
      </c>
      <c r="O142" s="91"/>
      <c r="P142" s="92">
        <f t="shared" si="50"/>
        <v>240000</v>
      </c>
      <c r="Q142" s="93"/>
      <c r="R142" s="94">
        <v>0</v>
      </c>
      <c r="S142" s="93"/>
      <c r="T142" s="92">
        <v>12282</v>
      </c>
      <c r="U142" s="93"/>
      <c r="V142" s="95">
        <f t="shared" si="51"/>
        <v>12282</v>
      </c>
      <c r="W142" s="38"/>
      <c r="X142" s="38"/>
      <c r="Y142" s="95">
        <v>120000</v>
      </c>
      <c r="Z142" s="38"/>
      <c r="AA142" s="116">
        <f t="shared" si="52"/>
        <v>120000</v>
      </c>
    </row>
    <row r="143" spans="2:27">
      <c r="B143" s="41">
        <v>1507</v>
      </c>
      <c r="C143" s="91" t="s">
        <v>34</v>
      </c>
      <c r="D143" s="91"/>
      <c r="E143" s="91"/>
      <c r="F143" s="103" t="s">
        <v>1</v>
      </c>
      <c r="G143" s="103"/>
      <c r="H143" s="92">
        <v>180000</v>
      </c>
      <c r="I143" s="92"/>
      <c r="J143" s="92">
        <v>0</v>
      </c>
      <c r="K143" s="92"/>
      <c r="L143" s="92">
        <v>0</v>
      </c>
      <c r="M143" s="91"/>
      <c r="N143" s="92">
        <v>0</v>
      </c>
      <c r="O143" s="91"/>
      <c r="P143" s="92">
        <f t="shared" si="50"/>
        <v>180000</v>
      </c>
      <c r="Q143" s="93"/>
      <c r="R143" s="94">
        <v>0</v>
      </c>
      <c r="S143" s="93"/>
      <c r="T143" s="92">
        <v>2454</v>
      </c>
      <c r="U143" s="93"/>
      <c r="V143" s="95">
        <f t="shared" si="51"/>
        <v>2454</v>
      </c>
      <c r="W143" s="38"/>
      <c r="X143" s="38"/>
      <c r="Y143" s="95">
        <v>90000</v>
      </c>
      <c r="Z143" s="38"/>
      <c r="AA143" s="116">
        <f t="shared" si="52"/>
        <v>90000</v>
      </c>
    </row>
    <row r="144" spans="2:27">
      <c r="B144" s="41">
        <v>1508</v>
      </c>
      <c r="C144" s="91" t="s">
        <v>77</v>
      </c>
      <c r="D144" s="91"/>
      <c r="E144" s="91"/>
      <c r="F144" s="103" t="s">
        <v>0</v>
      </c>
      <c r="G144" s="103"/>
      <c r="H144" s="92">
        <v>0</v>
      </c>
      <c r="I144" s="92"/>
      <c r="J144" s="92">
        <v>0</v>
      </c>
      <c r="K144" s="92"/>
      <c r="L144" s="92">
        <v>0</v>
      </c>
      <c r="M144" s="91"/>
      <c r="N144" s="92">
        <v>0</v>
      </c>
      <c r="O144" s="91"/>
      <c r="P144" s="92">
        <f t="shared" si="50"/>
        <v>0</v>
      </c>
      <c r="Q144" s="93"/>
      <c r="R144" s="94">
        <f>SUM(F144:K144)</f>
        <v>0</v>
      </c>
      <c r="S144" s="93"/>
      <c r="T144" s="92">
        <f>SUM(H144:M144)</f>
        <v>0</v>
      </c>
      <c r="U144" s="93"/>
      <c r="V144" s="95">
        <f t="shared" si="51"/>
        <v>0</v>
      </c>
      <c r="W144" s="38"/>
      <c r="X144" s="38"/>
      <c r="Y144" s="95">
        <v>0</v>
      </c>
      <c r="Z144" s="38"/>
      <c r="AA144" s="116">
        <f t="shared" si="52"/>
        <v>0</v>
      </c>
    </row>
    <row r="145" spans="2:27">
      <c r="B145" s="41">
        <v>1509</v>
      </c>
      <c r="C145" s="91" t="s">
        <v>11</v>
      </c>
      <c r="D145" s="91"/>
      <c r="E145" s="91"/>
      <c r="F145" s="103" t="s">
        <v>0</v>
      </c>
      <c r="G145" s="103"/>
      <c r="H145" s="92" t="s">
        <v>0</v>
      </c>
      <c r="I145" s="92"/>
      <c r="J145" s="92" t="s">
        <v>0</v>
      </c>
      <c r="K145" s="92"/>
      <c r="L145" s="92" t="s">
        <v>0</v>
      </c>
      <c r="M145" s="91"/>
      <c r="N145" s="92" t="s">
        <v>0</v>
      </c>
      <c r="O145" s="91"/>
      <c r="P145" s="92">
        <f>SUM(H145:N145)</f>
        <v>0</v>
      </c>
      <c r="Q145" s="93"/>
      <c r="R145" s="94">
        <f>SUM(F145:K145)</f>
        <v>0</v>
      </c>
      <c r="S145" s="93"/>
      <c r="T145" s="92">
        <f>SUM(H145:M145)</f>
        <v>0</v>
      </c>
      <c r="U145" s="93"/>
      <c r="V145" s="95">
        <f t="shared" si="51"/>
        <v>0</v>
      </c>
      <c r="W145" s="38"/>
      <c r="X145" s="38"/>
      <c r="Y145" s="95">
        <v>0</v>
      </c>
      <c r="Z145" s="38"/>
      <c r="AA145" s="116">
        <f t="shared" si="52"/>
        <v>0</v>
      </c>
    </row>
    <row r="146" spans="2:27">
      <c r="B146" s="39">
        <v>1510</v>
      </c>
      <c r="C146" s="6" t="s">
        <v>175</v>
      </c>
      <c r="F146" s="36" t="s">
        <v>0</v>
      </c>
      <c r="G146" s="36"/>
      <c r="H146" s="33" t="s">
        <v>0</v>
      </c>
      <c r="I146" s="29"/>
      <c r="J146" s="33" t="s">
        <v>0</v>
      </c>
      <c r="K146" s="29"/>
      <c r="L146" s="33" t="s">
        <v>0</v>
      </c>
      <c r="N146" s="33">
        <v>30000</v>
      </c>
      <c r="P146" s="33">
        <f>SUM(H146:N146)</f>
        <v>30000</v>
      </c>
      <c r="Q146" s="23"/>
      <c r="R146" s="81">
        <f>SUM(F146:K146)</f>
        <v>0</v>
      </c>
      <c r="S146" s="23"/>
      <c r="T146" s="33">
        <f>SUM(H146:M146)</f>
        <v>0</v>
      </c>
      <c r="U146" s="23"/>
      <c r="V146" s="88">
        <f t="shared" ref="V146" si="53">(R146/$V$11)+T146</f>
        <v>0</v>
      </c>
      <c r="W146" s="18"/>
      <c r="X146" s="18"/>
      <c r="Y146" s="88">
        <v>30000</v>
      </c>
      <c r="Z146" s="18"/>
      <c r="AA146" s="116">
        <f t="shared" si="52"/>
        <v>0</v>
      </c>
    </row>
    <row r="147" spans="2:27">
      <c r="F147" s="19"/>
      <c r="G147" s="19"/>
      <c r="H147" s="52">
        <f>SUM(H137:H145)</f>
        <v>960000</v>
      </c>
      <c r="I147" s="52"/>
      <c r="J147" s="52">
        <f>SUM(J137:J145)</f>
        <v>285000</v>
      </c>
      <c r="K147" s="52"/>
      <c r="L147" s="52">
        <f>SUM(L137:L145)</f>
        <v>60000</v>
      </c>
      <c r="N147" s="52">
        <f>SUM(N137:N146)</f>
        <v>30000</v>
      </c>
      <c r="P147" s="57">
        <f>SUM(H147:N147)</f>
        <v>1335000</v>
      </c>
      <c r="Q147" s="5"/>
      <c r="R147" s="82">
        <f>SUM(R137:R145)</f>
        <v>0</v>
      </c>
      <c r="S147" s="5"/>
      <c r="T147" s="52">
        <f>SUM(T137:T145)</f>
        <v>14736</v>
      </c>
      <c r="U147" s="5"/>
      <c r="V147" s="52">
        <f>SUM(V137:V145)</f>
        <v>14736</v>
      </c>
      <c r="W147" s="18"/>
      <c r="X147" s="18"/>
      <c r="Y147" s="52">
        <f>SUM(Y137:Y145)</f>
        <v>720000</v>
      </c>
      <c r="Z147" s="18"/>
      <c r="AA147" s="52">
        <f>SUM(AA137:AA146)</f>
        <v>585000</v>
      </c>
    </row>
    <row r="148" spans="2:27">
      <c r="F148" s="19"/>
      <c r="G148" s="19"/>
      <c r="H148" s="6"/>
      <c r="I148" s="5"/>
      <c r="L148" s="6"/>
      <c r="P148" s="6"/>
      <c r="Q148" s="5"/>
      <c r="R148" s="79"/>
      <c r="S148" s="5"/>
      <c r="T148" s="6"/>
      <c r="U148" s="5"/>
      <c r="W148" s="18"/>
      <c r="X148" s="18"/>
      <c r="Z148" s="18"/>
    </row>
    <row r="149" spans="2:27">
      <c r="B149" s="35" t="s">
        <v>87</v>
      </c>
      <c r="C149" s="40"/>
      <c r="D149" s="14"/>
      <c r="F149" s="19"/>
      <c r="G149" s="19"/>
      <c r="H149" s="29"/>
      <c r="I149" s="29"/>
      <c r="J149" s="29"/>
      <c r="K149" s="29"/>
      <c r="L149" s="29"/>
      <c r="N149" s="29"/>
      <c r="P149" s="29"/>
      <c r="Q149" s="5"/>
      <c r="R149" s="82"/>
      <c r="S149" s="5"/>
      <c r="T149" s="29"/>
      <c r="U149" s="5"/>
      <c r="V149" s="29"/>
      <c r="W149" s="18"/>
      <c r="X149" s="18"/>
      <c r="Y149" s="29"/>
      <c r="Z149" s="18"/>
      <c r="AA149" s="29"/>
    </row>
    <row r="150" spans="2:27">
      <c r="B150" s="42">
        <v>1601</v>
      </c>
      <c r="C150" s="5" t="s">
        <v>80</v>
      </c>
      <c r="E150" s="19"/>
      <c r="G150" s="19"/>
      <c r="H150" s="29">
        <v>15000</v>
      </c>
      <c r="I150" s="29"/>
      <c r="J150" s="29">
        <v>0</v>
      </c>
      <c r="K150" s="29"/>
      <c r="L150" s="29">
        <v>10000</v>
      </c>
      <c r="N150" s="29">
        <v>1000</v>
      </c>
      <c r="P150" s="30">
        <f t="shared" ref="P150:P155" si="54">SUM(H150:N150)</f>
        <v>26000</v>
      </c>
      <c r="Q150" s="5"/>
      <c r="R150" s="80">
        <v>0</v>
      </c>
      <c r="S150" s="5"/>
      <c r="T150" s="30">
        <v>0</v>
      </c>
      <c r="U150" s="5"/>
      <c r="V150" s="79">
        <f t="shared" ref="V150:V156" si="55">(R150/$V$11)+T150</f>
        <v>0</v>
      </c>
      <c r="W150" s="18"/>
      <c r="X150" s="18"/>
      <c r="Y150" s="79">
        <v>0</v>
      </c>
      <c r="Z150" s="18"/>
      <c r="AA150" s="117" t="s">
        <v>178</v>
      </c>
    </row>
    <row r="151" spans="2:27">
      <c r="B151" s="41">
        <v>1602</v>
      </c>
      <c r="C151" s="91" t="s">
        <v>10</v>
      </c>
      <c r="D151" s="91"/>
      <c r="E151" s="102"/>
      <c r="F151" s="91"/>
      <c r="G151" s="102"/>
      <c r="H151" s="92">
        <v>50000</v>
      </c>
      <c r="I151" s="92"/>
      <c r="J151" s="92">
        <v>15000</v>
      </c>
      <c r="K151" s="92"/>
      <c r="L151" s="92">
        <v>15000</v>
      </c>
      <c r="M151" s="91"/>
      <c r="N151" s="92">
        <v>2000</v>
      </c>
      <c r="O151" s="91"/>
      <c r="P151" s="92">
        <f t="shared" si="54"/>
        <v>82000</v>
      </c>
      <c r="Q151" s="91"/>
      <c r="R151" s="94">
        <v>0</v>
      </c>
      <c r="S151" s="91"/>
      <c r="T151" s="92">
        <v>0</v>
      </c>
      <c r="U151" s="91"/>
      <c r="V151" s="95">
        <f t="shared" si="55"/>
        <v>0</v>
      </c>
      <c r="W151" s="38"/>
      <c r="X151" s="38"/>
      <c r="Y151" s="95">
        <v>0</v>
      </c>
      <c r="Z151" s="38"/>
      <c r="AA151" s="116" t="s">
        <v>178</v>
      </c>
    </row>
    <row r="152" spans="2:27">
      <c r="B152" s="41">
        <v>1603</v>
      </c>
      <c r="C152" s="91" t="s">
        <v>35</v>
      </c>
      <c r="D152" s="91"/>
      <c r="E152" s="102"/>
      <c r="F152" s="91"/>
      <c r="G152" s="102"/>
      <c r="H152" s="97">
        <v>50000</v>
      </c>
      <c r="I152" s="97"/>
      <c r="J152" s="97">
        <v>15000</v>
      </c>
      <c r="K152" s="97"/>
      <c r="L152" s="97">
        <v>15000</v>
      </c>
      <c r="M152" s="91"/>
      <c r="N152" s="97">
        <v>1000</v>
      </c>
      <c r="O152" s="91"/>
      <c r="P152" s="92">
        <f t="shared" si="54"/>
        <v>81000</v>
      </c>
      <c r="Q152" s="93"/>
      <c r="R152" s="94">
        <v>0</v>
      </c>
      <c r="S152" s="93"/>
      <c r="T152" s="92">
        <v>0</v>
      </c>
      <c r="U152" s="93"/>
      <c r="V152" s="95">
        <f t="shared" si="55"/>
        <v>0</v>
      </c>
      <c r="W152" s="38"/>
      <c r="X152" s="38"/>
      <c r="Y152" s="95">
        <v>0</v>
      </c>
      <c r="Z152" s="38"/>
      <c r="AA152" s="116" t="s">
        <v>178</v>
      </c>
    </row>
    <row r="153" spans="2:27">
      <c r="B153" s="41">
        <v>1604</v>
      </c>
      <c r="C153" s="91" t="s">
        <v>36</v>
      </c>
      <c r="D153" s="91"/>
      <c r="E153" s="102"/>
      <c r="F153" s="91"/>
      <c r="G153" s="102"/>
      <c r="H153" s="97">
        <v>100000</v>
      </c>
      <c r="I153" s="97"/>
      <c r="J153" s="97">
        <v>0</v>
      </c>
      <c r="K153" s="97"/>
      <c r="L153" s="97">
        <v>0</v>
      </c>
      <c r="M153" s="91"/>
      <c r="N153" s="97">
        <v>0</v>
      </c>
      <c r="O153" s="91"/>
      <c r="P153" s="92">
        <f t="shared" si="54"/>
        <v>100000</v>
      </c>
      <c r="Q153" s="93"/>
      <c r="R153" s="94">
        <v>0</v>
      </c>
      <c r="S153" s="93"/>
      <c r="T153" s="92">
        <v>0</v>
      </c>
      <c r="U153" s="93"/>
      <c r="V153" s="95">
        <f t="shared" si="55"/>
        <v>0</v>
      </c>
      <c r="W153" s="38"/>
      <c r="X153" s="38"/>
      <c r="Y153" s="95">
        <v>0</v>
      </c>
      <c r="Z153" s="38"/>
      <c r="AA153" s="116" t="s">
        <v>178</v>
      </c>
    </row>
    <row r="154" spans="2:27">
      <c r="B154" s="101">
        <v>1605</v>
      </c>
      <c r="C154" s="102" t="s">
        <v>81</v>
      </c>
      <c r="D154" s="91"/>
      <c r="E154" s="102"/>
      <c r="F154" s="91"/>
      <c r="G154" s="102"/>
      <c r="H154" s="97">
        <v>0</v>
      </c>
      <c r="I154" s="97"/>
      <c r="J154" s="97">
        <v>0</v>
      </c>
      <c r="K154" s="97"/>
      <c r="L154" s="97">
        <v>0</v>
      </c>
      <c r="M154" s="91"/>
      <c r="N154" s="97">
        <v>0</v>
      </c>
      <c r="O154" s="91"/>
      <c r="P154" s="92">
        <f t="shared" si="54"/>
        <v>0</v>
      </c>
      <c r="Q154" s="93"/>
      <c r="R154" s="94">
        <f>SUM(F154:K154)</f>
        <v>0</v>
      </c>
      <c r="S154" s="93"/>
      <c r="T154" s="92">
        <f>SUM(H154:M154)</f>
        <v>0</v>
      </c>
      <c r="U154" s="93"/>
      <c r="V154" s="95">
        <f t="shared" si="55"/>
        <v>0</v>
      </c>
      <c r="W154" s="38"/>
      <c r="X154" s="38"/>
      <c r="Y154" s="95">
        <v>0</v>
      </c>
      <c r="Z154" s="38"/>
      <c r="AA154" s="116" t="s">
        <v>178</v>
      </c>
    </row>
    <row r="155" spans="2:27">
      <c r="B155" s="101">
        <v>1606</v>
      </c>
      <c r="C155" s="102" t="s">
        <v>37</v>
      </c>
      <c r="D155" s="91"/>
      <c r="E155" s="102"/>
      <c r="F155" s="91"/>
      <c r="G155" s="102"/>
      <c r="H155" s="97">
        <v>20000</v>
      </c>
      <c r="I155" s="97"/>
      <c r="J155" s="97">
        <v>10000</v>
      </c>
      <c r="K155" s="97"/>
      <c r="L155" s="97">
        <v>0</v>
      </c>
      <c r="M155" s="91"/>
      <c r="N155" s="97">
        <v>0</v>
      </c>
      <c r="O155" s="91"/>
      <c r="P155" s="92">
        <f t="shared" si="54"/>
        <v>30000</v>
      </c>
      <c r="Q155" s="93"/>
      <c r="R155" s="94">
        <v>0</v>
      </c>
      <c r="S155" s="93"/>
      <c r="T155" s="92">
        <v>0</v>
      </c>
      <c r="U155" s="93"/>
      <c r="V155" s="95">
        <f t="shared" si="55"/>
        <v>0</v>
      </c>
      <c r="W155" s="38"/>
      <c r="X155" s="38"/>
      <c r="Y155" s="95">
        <v>0</v>
      </c>
      <c r="Z155" s="38"/>
      <c r="AA155" s="116" t="s">
        <v>178</v>
      </c>
    </row>
    <row r="156" spans="2:27" ht="12" customHeight="1">
      <c r="B156" s="43">
        <v>1607</v>
      </c>
      <c r="C156" s="19" t="s">
        <v>82</v>
      </c>
      <c r="E156" s="19"/>
      <c r="G156" s="19"/>
      <c r="H156" s="32">
        <v>0</v>
      </c>
      <c r="I156" s="34"/>
      <c r="J156" s="32">
        <v>0</v>
      </c>
      <c r="K156" s="34"/>
      <c r="L156" s="32">
        <v>0</v>
      </c>
      <c r="N156" s="32">
        <v>0</v>
      </c>
      <c r="P156" s="33">
        <f>SUM(H156:N156)</f>
        <v>0</v>
      </c>
      <c r="Q156" s="23"/>
      <c r="R156" s="81">
        <f>SUM(F156:K156)</f>
        <v>0</v>
      </c>
      <c r="S156" s="23"/>
      <c r="T156" s="33">
        <f>SUM(H156:M156)</f>
        <v>0</v>
      </c>
      <c r="U156" s="23"/>
      <c r="V156" s="88">
        <f t="shared" si="55"/>
        <v>0</v>
      </c>
      <c r="W156" s="18"/>
      <c r="X156" s="18"/>
      <c r="Y156" s="88">
        <v>0</v>
      </c>
      <c r="Z156" s="18"/>
      <c r="AA156" s="116" t="s">
        <v>178</v>
      </c>
    </row>
    <row r="157" spans="2:27">
      <c r="F157" s="19"/>
      <c r="G157" s="19"/>
      <c r="H157" s="57">
        <f>SUM(H150:H156)</f>
        <v>235000</v>
      </c>
      <c r="I157" s="52"/>
      <c r="J157" s="57">
        <f>SUM(J150:J156)</f>
        <v>40000</v>
      </c>
      <c r="K157" s="57"/>
      <c r="L157" s="57">
        <f>SUM(L150:L156)</f>
        <v>40000</v>
      </c>
      <c r="N157" s="57">
        <f>SUM(N150:N156)</f>
        <v>4000</v>
      </c>
      <c r="P157" s="57">
        <f>SUM(H157:N157)</f>
        <v>319000</v>
      </c>
      <c r="Q157" s="5"/>
      <c r="R157" s="80">
        <f>SUM(R150:R156)</f>
        <v>0</v>
      </c>
      <c r="S157" s="5"/>
      <c r="T157" s="57">
        <f>SUM(T150:T156)</f>
        <v>0</v>
      </c>
      <c r="U157" s="5"/>
      <c r="V157" s="57">
        <f>SUM(V150:V156)</f>
        <v>0</v>
      </c>
      <c r="W157" s="18"/>
      <c r="X157" s="18"/>
      <c r="Y157" s="57">
        <f>SUM(Y150:Y156)</f>
        <v>0</v>
      </c>
      <c r="Z157" s="18"/>
      <c r="AA157" s="52">
        <f>SUM(AA150:AA156)</f>
        <v>0</v>
      </c>
    </row>
    <row r="158" spans="2:27">
      <c r="I158" s="18"/>
      <c r="J158" s="13"/>
      <c r="K158" s="13"/>
      <c r="N158" s="13"/>
      <c r="Q158" s="5"/>
      <c r="R158" s="79"/>
      <c r="S158" s="5"/>
      <c r="U158" s="5"/>
      <c r="V158" s="13"/>
      <c r="W158" s="18"/>
      <c r="X158" s="18"/>
      <c r="Y158" s="13"/>
      <c r="Z158" s="18"/>
      <c r="AA158" s="13"/>
    </row>
    <row r="159" spans="2:27">
      <c r="B159" s="35" t="s">
        <v>78</v>
      </c>
      <c r="C159" s="40"/>
      <c r="D159" s="14"/>
      <c r="H159" s="33">
        <v>30000</v>
      </c>
      <c r="I159" s="29"/>
      <c r="J159" s="33">
        <v>0</v>
      </c>
      <c r="K159" s="29"/>
      <c r="L159" s="33">
        <v>0</v>
      </c>
      <c r="N159" s="33">
        <v>0</v>
      </c>
      <c r="P159" s="33">
        <f>SUM(H159:N159)</f>
        <v>30000</v>
      </c>
      <c r="Q159" s="23"/>
      <c r="R159" s="81">
        <f>134450+75600+130666</f>
        <v>340716</v>
      </c>
      <c r="S159" s="23"/>
      <c r="T159" s="33">
        <v>0</v>
      </c>
      <c r="U159" s="23"/>
      <c r="V159" s="88">
        <f t="shared" ref="V159" si="56">(R159/$V$11)+T159</f>
        <v>56786</v>
      </c>
      <c r="W159" s="18"/>
      <c r="X159" s="18"/>
      <c r="Y159" s="88">
        <v>0</v>
      </c>
      <c r="Z159" s="18"/>
      <c r="AA159" s="117" t="s">
        <v>178</v>
      </c>
    </row>
    <row r="160" spans="2:27">
      <c r="B160" s="18"/>
      <c r="C160" s="42"/>
      <c r="D160" s="5"/>
      <c r="H160" s="52">
        <f>SUM(H159:H159)</f>
        <v>30000</v>
      </c>
      <c r="I160" s="52"/>
      <c r="J160" s="52">
        <f>SUM(J159:J159)</f>
        <v>0</v>
      </c>
      <c r="K160" s="52"/>
      <c r="L160" s="52">
        <f>SUM(L159:L159)</f>
        <v>0</v>
      </c>
      <c r="N160" s="52">
        <f>SUM(N159:N159)</f>
        <v>0</v>
      </c>
      <c r="P160" s="57">
        <f>SUM(H160:N160)</f>
        <v>30000</v>
      </c>
      <c r="Q160" s="23"/>
      <c r="R160" s="82">
        <f>SUM(R159:R159)</f>
        <v>340716</v>
      </c>
      <c r="S160" s="23"/>
      <c r="T160" s="52">
        <f>SUM(T159:T159)</f>
        <v>0</v>
      </c>
      <c r="U160" s="23"/>
      <c r="V160" s="52">
        <f>SUM(V159:V159)</f>
        <v>56786</v>
      </c>
      <c r="W160" s="18"/>
      <c r="X160" s="18"/>
      <c r="Y160" s="52">
        <f>SUM(Y159:Y159)</f>
        <v>0</v>
      </c>
      <c r="Z160" s="18"/>
      <c r="AA160" s="121" t="str">
        <f>+AA159</f>
        <v>na</v>
      </c>
    </row>
    <row r="161" spans="2:27">
      <c r="B161" s="18"/>
      <c r="C161" s="42"/>
      <c r="D161" s="5"/>
      <c r="H161" s="52"/>
      <c r="I161" s="52"/>
      <c r="J161" s="52"/>
      <c r="K161" s="52"/>
      <c r="L161" s="52"/>
      <c r="N161" s="52"/>
      <c r="P161" s="52"/>
      <c r="Q161" s="23"/>
      <c r="R161" s="82"/>
      <c r="S161" s="23"/>
      <c r="T161" s="52"/>
      <c r="U161" s="23"/>
      <c r="V161" s="52"/>
      <c r="W161" s="18"/>
      <c r="X161" s="18"/>
      <c r="Y161" s="52"/>
      <c r="Z161" s="18"/>
      <c r="AA161" s="52"/>
    </row>
    <row r="162" spans="2:27">
      <c r="B162" s="35" t="s">
        <v>79</v>
      </c>
      <c r="C162" s="46"/>
      <c r="D162" s="14"/>
      <c r="E162" s="14"/>
      <c r="H162" s="31"/>
      <c r="I162" s="34"/>
      <c r="J162" s="31"/>
      <c r="K162" s="31"/>
      <c r="L162" s="31"/>
      <c r="N162" s="31"/>
      <c r="P162" s="31"/>
      <c r="Q162" s="5"/>
      <c r="R162" s="83"/>
      <c r="S162" s="5"/>
      <c r="T162" s="31"/>
      <c r="U162" s="5"/>
      <c r="V162" s="31"/>
      <c r="W162" s="18"/>
      <c r="X162" s="18"/>
      <c r="Y162" s="31"/>
      <c r="Z162" s="18"/>
      <c r="AA162" s="34"/>
    </row>
    <row r="163" spans="2:27">
      <c r="B163" s="39">
        <v>1810</v>
      </c>
      <c r="C163" s="5" t="s">
        <v>83</v>
      </c>
      <c r="D163" s="5"/>
      <c r="F163" s="5"/>
      <c r="G163" s="5"/>
      <c r="H163" s="31">
        <v>300000</v>
      </c>
      <c r="I163" s="34"/>
      <c r="J163" s="31">
        <v>190000</v>
      </c>
      <c r="K163" s="31"/>
      <c r="L163" s="31">
        <v>0</v>
      </c>
      <c r="N163" s="31">
        <v>0</v>
      </c>
      <c r="P163" s="30">
        <f t="shared" ref="P163:P165" si="57">SUM(H163:N163)</f>
        <v>490000</v>
      </c>
      <c r="Q163" s="23"/>
      <c r="R163" s="80">
        <v>0</v>
      </c>
      <c r="S163" s="23"/>
      <c r="T163" s="30">
        <v>0</v>
      </c>
      <c r="U163" s="23"/>
      <c r="V163" s="79">
        <f t="shared" ref="V163:V166" si="58">(R163/$V$11)+T163</f>
        <v>0</v>
      </c>
      <c r="W163" s="18"/>
      <c r="X163" s="18"/>
      <c r="Y163" s="79">
        <v>0</v>
      </c>
      <c r="Z163" s="18"/>
      <c r="AA163" s="117">
        <f t="shared" ref="AA163:AA165" si="59">P163-Y163</f>
        <v>490000</v>
      </c>
    </row>
    <row r="164" spans="2:27">
      <c r="B164" s="41">
        <v>1820</v>
      </c>
      <c r="C164" s="91" t="s">
        <v>38</v>
      </c>
      <c r="D164" s="91"/>
      <c r="E164" s="91"/>
      <c r="F164" s="91"/>
      <c r="G164" s="91"/>
      <c r="H164" s="97">
        <v>300000</v>
      </c>
      <c r="I164" s="97"/>
      <c r="J164" s="97">
        <v>190000</v>
      </c>
      <c r="K164" s="97"/>
      <c r="L164" s="97">
        <v>0</v>
      </c>
      <c r="M164" s="91"/>
      <c r="N164" s="97">
        <v>0</v>
      </c>
      <c r="O164" s="91"/>
      <c r="P164" s="92">
        <f t="shared" si="57"/>
        <v>490000</v>
      </c>
      <c r="Q164" s="93"/>
      <c r="R164" s="94">
        <v>0</v>
      </c>
      <c r="S164" s="93"/>
      <c r="T164" s="92">
        <v>0</v>
      </c>
      <c r="U164" s="93"/>
      <c r="V164" s="95">
        <f t="shared" si="58"/>
        <v>0</v>
      </c>
      <c r="W164" s="38"/>
      <c r="X164" s="38"/>
      <c r="Y164" s="95">
        <v>0</v>
      </c>
      <c r="Z164" s="38"/>
      <c r="AA164" s="116">
        <f t="shared" si="59"/>
        <v>490000</v>
      </c>
    </row>
    <row r="165" spans="2:27">
      <c r="B165" s="41">
        <v>1830</v>
      </c>
      <c r="C165" s="91" t="s">
        <v>84</v>
      </c>
      <c r="D165" s="91"/>
      <c r="E165" s="91"/>
      <c r="F165" s="91"/>
      <c r="G165" s="91"/>
      <c r="H165" s="97">
        <v>300000</v>
      </c>
      <c r="I165" s="97"/>
      <c r="J165" s="97">
        <v>190000</v>
      </c>
      <c r="K165" s="97"/>
      <c r="L165" s="97">
        <v>0</v>
      </c>
      <c r="M165" s="91"/>
      <c r="N165" s="97">
        <v>0</v>
      </c>
      <c r="O165" s="91"/>
      <c r="P165" s="92">
        <f t="shared" si="57"/>
        <v>490000</v>
      </c>
      <c r="Q165" s="93"/>
      <c r="R165" s="94">
        <v>0</v>
      </c>
      <c r="S165" s="93"/>
      <c r="T165" s="92">
        <v>0</v>
      </c>
      <c r="U165" s="93"/>
      <c r="V165" s="95">
        <f t="shared" si="58"/>
        <v>0</v>
      </c>
      <c r="W165" s="38"/>
      <c r="X165" s="38"/>
      <c r="Y165" s="95">
        <v>0</v>
      </c>
      <c r="Z165" s="38"/>
      <c r="AA165" s="116">
        <f t="shared" si="59"/>
        <v>490000</v>
      </c>
    </row>
    <row r="166" spans="2:27">
      <c r="B166" s="39">
        <v>1840</v>
      </c>
      <c r="C166" s="19" t="s">
        <v>85</v>
      </c>
      <c r="D166" s="5"/>
      <c r="F166" s="5"/>
      <c r="G166" s="5"/>
      <c r="H166" s="32">
        <v>75000</v>
      </c>
      <c r="I166" s="34"/>
      <c r="J166" s="32">
        <v>45000</v>
      </c>
      <c r="K166" s="34"/>
      <c r="L166" s="32">
        <v>0</v>
      </c>
      <c r="N166" s="32">
        <v>0</v>
      </c>
      <c r="P166" s="33">
        <f>SUM(H166:N166)</f>
        <v>120000</v>
      </c>
      <c r="Q166" s="23"/>
      <c r="R166" s="81">
        <v>17640</v>
      </c>
      <c r="S166" s="23"/>
      <c r="T166" s="33">
        <v>0</v>
      </c>
      <c r="U166" s="23"/>
      <c r="V166" s="88">
        <f t="shared" si="58"/>
        <v>2940</v>
      </c>
      <c r="W166" s="18"/>
      <c r="X166" s="18"/>
      <c r="Y166" s="88">
        <v>0</v>
      </c>
      <c r="Z166" s="18"/>
      <c r="AA166" s="117" t="s">
        <v>178</v>
      </c>
    </row>
    <row r="167" spans="2:27">
      <c r="D167" s="5"/>
      <c r="E167" s="5"/>
      <c r="F167" s="5"/>
      <c r="G167" s="5"/>
      <c r="H167" s="58">
        <f>SUM(H163:H166)</f>
        <v>975000</v>
      </c>
      <c r="I167" s="65"/>
      <c r="J167" s="58">
        <f>SUM(J163:J166)</f>
        <v>615000</v>
      </c>
      <c r="K167" s="58"/>
      <c r="L167" s="58">
        <f>SUM(L163:L166)</f>
        <v>0</v>
      </c>
      <c r="N167" s="58">
        <f>SUM(N163:N166)</f>
        <v>0</v>
      </c>
      <c r="P167" s="57">
        <f>SUM(H167:N167)</f>
        <v>1590000</v>
      </c>
      <c r="Q167" s="23"/>
      <c r="R167" s="83">
        <f>SUM(R163:R166)</f>
        <v>17640</v>
      </c>
      <c r="S167" s="23"/>
      <c r="T167" s="58">
        <f>SUM(T163:T166)</f>
        <v>0</v>
      </c>
      <c r="U167" s="23"/>
      <c r="V167" s="58">
        <f>SUM(V163:V166)</f>
        <v>2940</v>
      </c>
      <c r="W167" s="18"/>
      <c r="X167" s="18"/>
      <c r="Y167" s="58">
        <f>SUM(Y163:Y166)</f>
        <v>0</v>
      </c>
      <c r="Z167" s="18"/>
      <c r="AA167" s="52">
        <f>SUM(AA163:AA166)</f>
        <v>1470000</v>
      </c>
    </row>
    <row r="168" spans="2:27">
      <c r="H168" s="6"/>
      <c r="I168" s="5"/>
      <c r="L168" s="6"/>
      <c r="P168" s="6"/>
      <c r="Q168" s="5"/>
      <c r="R168" s="79"/>
      <c r="S168" s="5"/>
      <c r="T168" s="6"/>
      <c r="U168" s="5"/>
      <c r="W168" s="18"/>
      <c r="X168" s="18"/>
      <c r="Z168" s="18"/>
    </row>
    <row r="169" spans="2:27">
      <c r="B169" s="35" t="s">
        <v>86</v>
      </c>
      <c r="C169" s="40"/>
      <c r="D169" s="14"/>
      <c r="H169" s="33">
        <v>0</v>
      </c>
      <c r="I169" s="29"/>
      <c r="J169" s="33">
        <v>0</v>
      </c>
      <c r="K169" s="29"/>
      <c r="L169" s="33">
        <v>0</v>
      </c>
      <c r="N169" s="33">
        <v>0</v>
      </c>
      <c r="P169" s="33">
        <f>SUM(H169:N169)</f>
        <v>0</v>
      </c>
      <c r="Q169" s="5"/>
      <c r="R169" s="81">
        <f>SUM(F169:K169)</f>
        <v>0</v>
      </c>
      <c r="S169" s="5"/>
      <c r="T169" s="33">
        <f>SUM(H169:M169)</f>
        <v>0</v>
      </c>
      <c r="U169" s="5"/>
      <c r="V169" s="88">
        <f t="shared" ref="V169" si="60">(R169/$V$11)+T169</f>
        <v>0</v>
      </c>
      <c r="W169" s="18"/>
      <c r="X169" s="18"/>
      <c r="Y169" s="88">
        <v>0</v>
      </c>
      <c r="Z169" s="18"/>
      <c r="AA169" s="117">
        <f>P169-V169</f>
        <v>0</v>
      </c>
    </row>
    <row r="170" spans="2:27">
      <c r="H170" s="52">
        <f>SUM(H169:H169)</f>
        <v>0</v>
      </c>
      <c r="I170" s="52"/>
      <c r="J170" s="52">
        <f>SUM(J169:J169)</f>
        <v>0</v>
      </c>
      <c r="K170" s="52"/>
      <c r="L170" s="52">
        <f>SUM(L169:L169)</f>
        <v>0</v>
      </c>
      <c r="N170" s="52">
        <f>SUM(N169:N169)</f>
        <v>0</v>
      </c>
      <c r="P170" s="57">
        <f>SUM(H170:N170)</f>
        <v>0</v>
      </c>
      <c r="Q170" s="5"/>
      <c r="R170" s="80">
        <f>SUM(F170:K170)</f>
        <v>0</v>
      </c>
      <c r="S170" s="5"/>
      <c r="T170" s="57">
        <f>SUM(H170:M170)</f>
        <v>0</v>
      </c>
      <c r="U170" s="5"/>
      <c r="V170" s="57">
        <f>SUM(J170:Q170)</f>
        <v>0</v>
      </c>
      <c r="W170" s="18"/>
      <c r="X170" s="18"/>
      <c r="Y170" s="57">
        <f>SUM(M170:T170)</f>
        <v>0</v>
      </c>
      <c r="Z170" s="18"/>
      <c r="AA170" s="52">
        <f>+AA169</f>
        <v>0</v>
      </c>
    </row>
    <row r="171" spans="2:27">
      <c r="H171" s="52"/>
      <c r="I171" s="52"/>
      <c r="J171" s="52"/>
      <c r="K171" s="52"/>
      <c r="L171" s="52"/>
      <c r="N171" s="52"/>
      <c r="P171" s="52"/>
      <c r="Q171" s="5"/>
      <c r="R171" s="82"/>
      <c r="S171" s="5"/>
      <c r="T171" s="52"/>
      <c r="U171" s="5"/>
      <c r="V171" s="52"/>
      <c r="W171" s="18"/>
      <c r="X171" s="18"/>
      <c r="Y171" s="52"/>
      <c r="Z171" s="18"/>
      <c r="AA171" s="52"/>
    </row>
    <row r="172" spans="2:27">
      <c r="B172" s="35" t="s">
        <v>90</v>
      </c>
      <c r="C172" s="40"/>
      <c r="D172" s="14"/>
      <c r="E172" s="1" t="s">
        <v>0</v>
      </c>
      <c r="H172" s="33">
        <v>0</v>
      </c>
      <c r="I172" s="29"/>
      <c r="J172" s="33">
        <v>0</v>
      </c>
      <c r="K172" s="29"/>
      <c r="L172" s="33">
        <v>0</v>
      </c>
      <c r="N172" s="33">
        <v>0</v>
      </c>
      <c r="P172" s="33">
        <f>SUM(H172:N172)</f>
        <v>0</v>
      </c>
      <c r="Q172" s="5"/>
      <c r="R172" s="81">
        <f>SUM(F172:K172)</f>
        <v>0</v>
      </c>
      <c r="S172" s="5"/>
      <c r="T172" s="33">
        <f>SUM(H172:M172)</f>
        <v>0</v>
      </c>
      <c r="U172" s="5"/>
      <c r="V172" s="88">
        <f t="shared" ref="V172" si="61">(R172/$V$11)+T172</f>
        <v>0</v>
      </c>
      <c r="W172" s="18"/>
      <c r="X172" s="18"/>
      <c r="Y172" s="88">
        <v>0</v>
      </c>
      <c r="Z172" s="18"/>
      <c r="AA172" s="117">
        <f>P172-V172</f>
        <v>0</v>
      </c>
    </row>
    <row r="173" spans="2:27">
      <c r="H173" s="52">
        <f>SUM(H172:H172)</f>
        <v>0</v>
      </c>
      <c r="I173" s="52"/>
      <c r="J173" s="52">
        <f>SUM(J172:J172)</f>
        <v>0</v>
      </c>
      <c r="K173" s="52"/>
      <c r="L173" s="52">
        <f>SUM(L172:L172)</f>
        <v>0</v>
      </c>
      <c r="N173" s="52">
        <f>SUM(N172:N172)</f>
        <v>0</v>
      </c>
      <c r="P173" s="57">
        <f>SUM(H173:N173)</f>
        <v>0</v>
      </c>
      <c r="Q173" s="5"/>
      <c r="R173" s="80">
        <f>SUM(F173:K173)</f>
        <v>0</v>
      </c>
      <c r="S173" s="5"/>
      <c r="T173" s="57">
        <f>SUM(H173:M173)</f>
        <v>0</v>
      </c>
      <c r="U173" s="5"/>
      <c r="V173" s="57">
        <f>SUM(J173:Q173)</f>
        <v>0</v>
      </c>
      <c r="W173" s="18"/>
      <c r="X173" s="18"/>
      <c r="Y173" s="57">
        <f>SUM(M173:T173)</f>
        <v>0</v>
      </c>
      <c r="Z173" s="18"/>
      <c r="AA173" s="52">
        <f>+AA172</f>
        <v>0</v>
      </c>
    </row>
    <row r="174" spans="2:27">
      <c r="H174" s="52"/>
      <c r="I174" s="52"/>
      <c r="J174" s="52"/>
      <c r="K174" s="52"/>
      <c r="L174" s="52"/>
      <c r="N174" s="52"/>
      <c r="P174" s="52"/>
      <c r="Q174" s="5"/>
      <c r="R174" s="82"/>
      <c r="S174" s="5"/>
      <c r="T174" s="52"/>
      <c r="U174" s="5"/>
      <c r="V174" s="52"/>
      <c r="W174" s="18"/>
      <c r="X174" s="18"/>
      <c r="Y174" s="52"/>
      <c r="Z174" s="18"/>
      <c r="AA174" s="52"/>
    </row>
    <row r="175" spans="2:27">
      <c r="B175" s="35" t="s">
        <v>91</v>
      </c>
      <c r="C175" s="46"/>
      <c r="D175" s="14"/>
      <c r="E175" s="14"/>
      <c r="I175" s="18"/>
      <c r="J175" s="13"/>
      <c r="K175" s="13"/>
      <c r="N175" s="13"/>
      <c r="Q175" s="23"/>
      <c r="R175" s="79"/>
      <c r="S175" s="23"/>
      <c r="U175" s="23"/>
      <c r="V175" s="13"/>
      <c r="W175" s="18"/>
      <c r="X175" s="18"/>
      <c r="Y175" s="13"/>
      <c r="Z175" s="18"/>
      <c r="AA175" s="13"/>
    </row>
    <row r="176" spans="2:27">
      <c r="B176" s="39">
        <v>2110</v>
      </c>
      <c r="C176" s="6" t="s">
        <v>45</v>
      </c>
      <c r="H176" s="30">
        <v>400000</v>
      </c>
      <c r="I176" s="29"/>
      <c r="J176" s="30">
        <v>260000</v>
      </c>
      <c r="K176" s="30"/>
      <c r="L176" s="30">
        <v>200000</v>
      </c>
      <c r="N176" s="30">
        <v>30000</v>
      </c>
      <c r="P176" s="30">
        <f t="shared" ref="P176:P179" si="62">SUM(H176:N176)</f>
        <v>890000</v>
      </c>
      <c r="Q176" s="5"/>
      <c r="R176" s="80">
        <v>0</v>
      </c>
      <c r="S176" s="5"/>
      <c r="T176" s="30">
        <v>0</v>
      </c>
      <c r="U176" s="5"/>
      <c r="V176" s="79">
        <f t="shared" ref="V176:V180" si="63">(R176/$V$11)+T176</f>
        <v>0</v>
      </c>
      <c r="W176" s="18"/>
      <c r="X176" s="18"/>
      <c r="Y176" s="79">
        <v>0</v>
      </c>
      <c r="Z176" s="18"/>
      <c r="AA176" s="117">
        <f t="shared" ref="AA176:AA180" si="64">P176-Y176</f>
        <v>890000</v>
      </c>
    </row>
    <row r="177" spans="2:27">
      <c r="B177" s="41">
        <v>2120</v>
      </c>
      <c r="C177" s="91" t="s">
        <v>88</v>
      </c>
      <c r="D177" s="91"/>
      <c r="E177" s="91"/>
      <c r="F177" s="91"/>
      <c r="G177" s="91"/>
      <c r="H177" s="92">
        <v>0</v>
      </c>
      <c r="I177" s="92"/>
      <c r="J177" s="92">
        <v>0</v>
      </c>
      <c r="K177" s="92"/>
      <c r="L177" s="92">
        <v>0</v>
      </c>
      <c r="M177" s="91"/>
      <c r="N177" s="92">
        <v>0</v>
      </c>
      <c r="O177" s="91"/>
      <c r="P177" s="92">
        <f t="shared" si="62"/>
        <v>0</v>
      </c>
      <c r="Q177" s="91"/>
      <c r="R177" s="94">
        <f>SUM(F177:K177)</f>
        <v>0</v>
      </c>
      <c r="S177" s="91"/>
      <c r="T177" s="92">
        <f>SUM(H177:M177)</f>
        <v>0</v>
      </c>
      <c r="U177" s="91"/>
      <c r="V177" s="95">
        <f t="shared" si="63"/>
        <v>0</v>
      </c>
      <c r="W177" s="38"/>
      <c r="X177" s="38"/>
      <c r="Y177" s="95">
        <v>0</v>
      </c>
      <c r="Z177" s="38"/>
      <c r="AA177" s="117">
        <f t="shared" si="64"/>
        <v>0</v>
      </c>
    </row>
    <row r="178" spans="2:27">
      <c r="B178" s="41">
        <v>2130</v>
      </c>
      <c r="C178" s="91" t="s">
        <v>89</v>
      </c>
      <c r="D178" s="91"/>
      <c r="E178" s="91"/>
      <c r="F178" s="91"/>
      <c r="G178" s="91"/>
      <c r="H178" s="92">
        <v>0</v>
      </c>
      <c r="I178" s="92"/>
      <c r="J178" s="92">
        <v>0</v>
      </c>
      <c r="K178" s="92"/>
      <c r="L178" s="92">
        <v>0</v>
      </c>
      <c r="M178" s="91"/>
      <c r="N178" s="92">
        <v>0</v>
      </c>
      <c r="O178" s="91"/>
      <c r="P178" s="92">
        <f t="shared" si="62"/>
        <v>0</v>
      </c>
      <c r="Q178" s="91"/>
      <c r="R178" s="94">
        <f>SUM(F178:K178)</f>
        <v>0</v>
      </c>
      <c r="S178" s="91"/>
      <c r="T178" s="92">
        <f>SUM(H178:M178)</f>
        <v>0</v>
      </c>
      <c r="U178" s="91"/>
      <c r="V178" s="95">
        <f t="shared" si="63"/>
        <v>0</v>
      </c>
      <c r="W178" s="38"/>
      <c r="X178" s="38"/>
      <c r="Y178" s="95">
        <v>0</v>
      </c>
      <c r="Z178" s="38"/>
      <c r="AA178" s="117">
        <f t="shared" si="64"/>
        <v>0</v>
      </c>
    </row>
    <row r="179" spans="2:27">
      <c r="B179" s="41">
        <v>2140</v>
      </c>
      <c r="C179" s="91" t="s">
        <v>176</v>
      </c>
      <c r="D179" s="91"/>
      <c r="E179" s="91"/>
      <c r="F179" s="104" t="s">
        <v>0</v>
      </c>
      <c r="G179" s="91"/>
      <c r="H179" s="92">
        <v>487000</v>
      </c>
      <c r="I179" s="92"/>
      <c r="J179" s="92">
        <v>297000</v>
      </c>
      <c r="K179" s="92"/>
      <c r="L179" s="92">
        <v>88000</v>
      </c>
      <c r="M179" s="91"/>
      <c r="N179" s="92">
        <v>20000</v>
      </c>
      <c r="O179" s="91"/>
      <c r="P179" s="92">
        <f t="shared" si="62"/>
        <v>892000</v>
      </c>
      <c r="Q179" s="91"/>
      <c r="R179" s="94">
        <v>0</v>
      </c>
      <c r="S179" s="91"/>
      <c r="T179" s="92">
        <v>0</v>
      </c>
      <c r="U179" s="91"/>
      <c r="V179" s="95">
        <f t="shared" si="63"/>
        <v>0</v>
      </c>
      <c r="W179" s="38"/>
      <c r="X179" s="38"/>
      <c r="Y179" s="95">
        <v>0</v>
      </c>
      <c r="Z179" s="38"/>
      <c r="AA179" s="117">
        <f t="shared" si="64"/>
        <v>892000</v>
      </c>
    </row>
    <row r="180" spans="2:27">
      <c r="B180" s="39">
        <v>2150</v>
      </c>
      <c r="C180" s="6" t="s">
        <v>177</v>
      </c>
      <c r="F180" s="47" t="s">
        <v>0</v>
      </c>
      <c r="H180" s="33">
        <v>273000</v>
      </c>
      <c r="I180" s="29"/>
      <c r="J180" s="33">
        <v>173000</v>
      </c>
      <c r="K180" s="29"/>
      <c r="L180" s="33">
        <v>53000</v>
      </c>
      <c r="N180" s="33">
        <v>20000</v>
      </c>
      <c r="P180" s="33">
        <f>SUM(H180:N180)</f>
        <v>519000</v>
      </c>
      <c r="Q180" s="5"/>
      <c r="R180" s="81">
        <v>0</v>
      </c>
      <c r="S180" s="5"/>
      <c r="T180" s="33">
        <v>0</v>
      </c>
      <c r="U180" s="5"/>
      <c r="V180" s="88">
        <f t="shared" si="63"/>
        <v>0</v>
      </c>
      <c r="W180" s="18"/>
      <c r="X180" s="18"/>
      <c r="Y180" s="88">
        <v>0</v>
      </c>
      <c r="Z180" s="18"/>
      <c r="AA180" s="117">
        <f t="shared" si="64"/>
        <v>519000</v>
      </c>
    </row>
    <row r="181" spans="2:27">
      <c r="H181" s="57">
        <f>SUM(H176:H180)</f>
        <v>1160000</v>
      </c>
      <c r="I181" s="52"/>
      <c r="J181" s="57">
        <f>SUM(J176:J180)</f>
        <v>730000</v>
      </c>
      <c r="K181" s="57"/>
      <c r="L181" s="57">
        <f>SUM(L176:L180)</f>
        <v>341000</v>
      </c>
      <c r="N181" s="57">
        <f>SUM(N176:N180)</f>
        <v>70000</v>
      </c>
      <c r="P181" s="57">
        <f>SUM(H181:N181)</f>
        <v>2301000</v>
      </c>
      <c r="Q181" s="5"/>
      <c r="R181" s="80">
        <f>SUM(R176:R180)</f>
        <v>0</v>
      </c>
      <c r="S181" s="5"/>
      <c r="T181" s="57">
        <f>SUM(T176:T180)</f>
        <v>0</v>
      </c>
      <c r="U181" s="5"/>
      <c r="V181" s="57">
        <f>SUM(V176:V180)</f>
        <v>0</v>
      </c>
      <c r="W181" s="18"/>
      <c r="X181" s="18"/>
      <c r="Y181" s="57">
        <f>SUM(Y176:Y180)</f>
        <v>0</v>
      </c>
      <c r="Z181" s="18"/>
      <c r="AA181" s="52">
        <f>SUM(AA176:AA180)</f>
        <v>2301000</v>
      </c>
    </row>
    <row r="182" spans="2:27">
      <c r="H182" s="6"/>
      <c r="I182" s="5"/>
      <c r="L182" s="6"/>
      <c r="P182" s="6"/>
      <c r="Q182" s="5"/>
      <c r="R182" s="79"/>
      <c r="S182" s="5"/>
      <c r="T182" s="6"/>
      <c r="U182" s="5"/>
      <c r="W182" s="18"/>
      <c r="X182" s="18"/>
      <c r="Z182" s="18"/>
    </row>
    <row r="183" spans="2:27">
      <c r="B183" s="1" t="s">
        <v>142</v>
      </c>
      <c r="H183" s="59">
        <f>SUM(H10:H182)/2</f>
        <v>29823000</v>
      </c>
      <c r="I183" s="66"/>
      <c r="J183" s="59">
        <f>SUM(J10:J182)/2</f>
        <v>16341778</v>
      </c>
      <c r="K183" s="59"/>
      <c r="L183" s="59">
        <f>SUM(L10:L182)/2</f>
        <v>7795000</v>
      </c>
      <c r="N183" s="59">
        <f>SUM(N10:N182)/2</f>
        <v>855000</v>
      </c>
      <c r="P183" s="59">
        <f>SUM(P10:P182)/2</f>
        <v>54814778</v>
      </c>
      <c r="Q183" s="24"/>
      <c r="R183" s="84">
        <f>SUM(R10:R182)/2</f>
        <v>18789299.899999999</v>
      </c>
      <c r="S183" s="24"/>
      <c r="T183" s="59">
        <f>SUM(T10:T182)/2</f>
        <v>13095691</v>
      </c>
      <c r="U183" s="24"/>
      <c r="V183" s="59">
        <f>SUM(V10:V182)/2</f>
        <v>16227243.983333332</v>
      </c>
      <c r="W183" s="18"/>
      <c r="X183" s="18"/>
      <c r="Y183" s="130">
        <f>SUM(Y10:Y182)/2</f>
        <v>34917350</v>
      </c>
      <c r="Z183" s="18"/>
      <c r="AA183" s="129">
        <f>SUM(AA10:AA182)/2</f>
        <v>1188428.0000000009</v>
      </c>
    </row>
    <row r="184" spans="2:27">
      <c r="B184" s="4" t="s">
        <v>140</v>
      </c>
      <c r="C184" s="41"/>
      <c r="D184" s="91"/>
      <c r="E184" s="91"/>
      <c r="F184" s="91"/>
      <c r="G184" s="91"/>
      <c r="H184" s="105">
        <v>41684710</v>
      </c>
      <c r="I184" s="106"/>
      <c r="J184" s="105">
        <f>24577909+9617907+5790000+2560700</f>
        <v>42546516</v>
      </c>
      <c r="K184" s="106"/>
      <c r="L184" s="105">
        <v>22577909</v>
      </c>
      <c r="M184" s="91"/>
      <c r="N184" s="105">
        <v>1861884</v>
      </c>
      <c r="O184" s="91"/>
      <c r="P184" s="131">
        <f>SUM(H184:N184)</f>
        <v>108671019</v>
      </c>
      <c r="Q184" s="24"/>
      <c r="R184" s="84"/>
      <c r="S184" s="24"/>
      <c r="T184" s="59"/>
      <c r="U184" s="24"/>
      <c r="V184" s="59"/>
      <c r="W184" s="18"/>
      <c r="X184" s="18"/>
      <c r="Y184" s="18"/>
      <c r="Z184" s="18"/>
      <c r="AA184" s="59"/>
    </row>
    <row r="185" spans="2:27">
      <c r="B185" s="4" t="s">
        <v>143</v>
      </c>
      <c r="C185" s="41"/>
      <c r="D185" s="91"/>
      <c r="E185" s="91"/>
      <c r="F185" s="91"/>
      <c r="G185" s="91"/>
      <c r="H185" s="106">
        <f>H184/6</f>
        <v>6947451.666666667</v>
      </c>
      <c r="I185" s="106"/>
      <c r="J185" s="106" t="s">
        <v>178</v>
      </c>
      <c r="K185" s="106"/>
      <c r="L185" s="106" t="s">
        <v>178</v>
      </c>
      <c r="M185" s="91"/>
      <c r="N185" s="106" t="s">
        <v>178</v>
      </c>
      <c r="O185" s="91"/>
      <c r="P185" s="106" t="s">
        <v>178</v>
      </c>
      <c r="Q185" s="24"/>
      <c r="R185" s="84"/>
      <c r="S185" s="24"/>
      <c r="T185" s="59"/>
      <c r="U185" s="24"/>
      <c r="V185" s="59"/>
      <c r="W185" s="18"/>
      <c r="X185" s="18"/>
      <c r="Y185" s="18"/>
      <c r="Z185" s="18"/>
      <c r="AA185" s="59"/>
    </row>
    <row r="186" spans="2:27">
      <c r="B186" s="1" t="s">
        <v>141</v>
      </c>
      <c r="H186" s="59">
        <f>H183-H185</f>
        <v>22875548.333333332</v>
      </c>
      <c r="I186" s="66"/>
      <c r="J186" s="59">
        <f>4069000+2251000+902000+1754778</f>
        <v>8976778</v>
      </c>
      <c r="K186" s="59"/>
      <c r="L186" s="59">
        <f>2942000+2450000</f>
        <v>5392000</v>
      </c>
      <c r="N186" s="59">
        <v>667000</v>
      </c>
      <c r="P186" s="130">
        <f>SUM(H186:N186)</f>
        <v>37911326.333333328</v>
      </c>
      <c r="Q186" s="24"/>
      <c r="R186" s="84"/>
      <c r="S186" s="24"/>
      <c r="T186" s="59"/>
      <c r="U186" s="24"/>
      <c r="V186" s="59"/>
      <c r="W186" s="18"/>
      <c r="X186" s="18"/>
      <c r="Y186" s="18"/>
      <c r="Z186" s="18"/>
      <c r="AA186" s="59"/>
    </row>
    <row r="187" spans="2:27">
      <c r="B187" s="1" t="s">
        <v>0</v>
      </c>
      <c r="D187" s="28" t="s">
        <v>0</v>
      </c>
      <c r="H187" s="66" t="s">
        <v>0</v>
      </c>
      <c r="I187" s="66"/>
      <c r="J187" s="66" t="s">
        <v>0</v>
      </c>
      <c r="K187" s="66"/>
      <c r="L187" s="66" t="s">
        <v>0</v>
      </c>
      <c r="M187" s="20"/>
      <c r="N187" s="66" t="s">
        <v>0</v>
      </c>
      <c r="O187" s="20"/>
      <c r="P187" s="66" t="s">
        <v>0</v>
      </c>
      <c r="Q187" s="25"/>
      <c r="R187" s="85" t="s">
        <v>0</v>
      </c>
      <c r="S187" s="25"/>
      <c r="T187" s="66" t="s">
        <v>0</v>
      </c>
      <c r="U187" s="25"/>
      <c r="V187" s="66" t="s">
        <v>0</v>
      </c>
      <c r="W187" s="5"/>
      <c r="X187" s="26"/>
      <c r="Y187" s="26"/>
      <c r="Z187" s="26"/>
    </row>
    <row r="188" spans="2:27">
      <c r="B188" s="90" t="s">
        <v>144</v>
      </c>
      <c r="F188" s="71">
        <v>0.34</v>
      </c>
      <c r="I188" s="18"/>
      <c r="J188" s="13"/>
      <c r="K188" s="13"/>
      <c r="N188" s="13"/>
      <c r="P188" s="69"/>
      <c r="Q188" s="27"/>
      <c r="R188" s="86" t="s">
        <v>0</v>
      </c>
      <c r="S188" s="27"/>
      <c r="T188" s="69"/>
      <c r="U188" s="27"/>
      <c r="V188" s="69"/>
      <c r="W188" s="26"/>
      <c r="X188" s="26"/>
      <c r="Y188" s="26"/>
      <c r="Z188" s="26"/>
    </row>
    <row r="189" spans="2:27">
      <c r="B189" s="107" t="s">
        <v>145</v>
      </c>
      <c r="C189" s="108"/>
      <c r="D189" s="109"/>
      <c r="E189" s="109"/>
      <c r="H189" s="126">
        <f>R183/F188</f>
        <v>55262646.764705874</v>
      </c>
      <c r="I189" s="67"/>
      <c r="J189" s="110" t="s">
        <v>181</v>
      </c>
      <c r="K189" s="110"/>
      <c r="L189" s="111">
        <v>90000000</v>
      </c>
      <c r="M189" s="5"/>
      <c r="N189" s="60" t="s">
        <v>0</v>
      </c>
      <c r="O189" s="5"/>
      <c r="P189" s="59" t="s">
        <v>0</v>
      </c>
      <c r="Q189" s="18"/>
      <c r="R189" s="84" t="s">
        <v>0</v>
      </c>
      <c r="S189" s="18"/>
      <c r="T189" s="59" t="s">
        <v>0</v>
      </c>
      <c r="U189" s="18"/>
      <c r="V189" s="59" t="s">
        <v>0</v>
      </c>
      <c r="W189" s="12"/>
      <c r="X189" s="12"/>
      <c r="Y189" s="12"/>
      <c r="Z189" s="12"/>
    </row>
    <row r="190" spans="2:27">
      <c r="B190" s="1" t="s">
        <v>147</v>
      </c>
      <c r="C190" s="42"/>
      <c r="D190" s="5"/>
      <c r="E190" s="5"/>
      <c r="H190" s="118">
        <f>P184-H189</f>
        <v>53408372.235294126</v>
      </c>
      <c r="I190" s="67"/>
      <c r="J190" s="60"/>
      <c r="K190" s="60"/>
      <c r="L190" s="60"/>
      <c r="M190" s="5"/>
      <c r="N190" s="60"/>
      <c r="O190" s="5"/>
      <c r="P190" s="59"/>
      <c r="Q190" s="18"/>
      <c r="R190" s="84"/>
      <c r="S190" s="18"/>
      <c r="T190" s="59"/>
      <c r="U190" s="18"/>
      <c r="V190" s="59"/>
      <c r="W190" s="12"/>
      <c r="X190" s="12"/>
      <c r="Y190" s="12"/>
      <c r="Z190" s="12"/>
    </row>
    <row r="191" spans="2:27">
      <c r="B191" s="1"/>
      <c r="C191" s="42"/>
      <c r="D191" s="5"/>
      <c r="E191" s="5"/>
      <c r="H191" s="89"/>
      <c r="I191" s="67"/>
      <c r="J191" s="60"/>
      <c r="K191" s="60"/>
      <c r="L191" s="60"/>
      <c r="M191" s="5"/>
      <c r="N191" s="60"/>
      <c r="O191" s="5"/>
      <c r="P191" s="59"/>
      <c r="Q191" s="18"/>
      <c r="R191" s="84"/>
      <c r="S191" s="18"/>
      <c r="T191" s="59"/>
      <c r="U191" s="18"/>
      <c r="V191" s="59"/>
      <c r="W191" s="12"/>
      <c r="X191" s="12"/>
      <c r="Y191" s="12"/>
      <c r="Z191" s="12"/>
    </row>
    <row r="192" spans="2:27">
      <c r="B192" s="1" t="s">
        <v>129</v>
      </c>
      <c r="E192" s="71">
        <f>(W13*$F$12)+(W30*$F$29)+(W120*$F$119)</f>
        <v>0.31859977049097438</v>
      </c>
      <c r="F192" s="71">
        <f>(0.34*$F$12)+(0.45*$F$29)+(0.55*$F$119)</f>
        <v>0.41917667813256121</v>
      </c>
      <c r="G192" s="1"/>
      <c r="H192" s="68" t="s">
        <v>128</v>
      </c>
      <c r="I192" s="18"/>
      <c r="R192" s="6"/>
      <c r="T192" s="6"/>
    </row>
    <row r="193" spans="2:22">
      <c r="H193" s="13" t="s">
        <v>187</v>
      </c>
      <c r="I193" s="18"/>
      <c r="R193" s="6"/>
      <c r="T193" s="6"/>
    </row>
    <row r="194" spans="2:22">
      <c r="B194" s="112" t="s">
        <v>146</v>
      </c>
      <c r="C194" s="113"/>
      <c r="D194" s="107"/>
      <c r="E194" s="107"/>
      <c r="F194" s="107"/>
      <c r="G194" s="107"/>
      <c r="H194" s="114">
        <f>Y183</f>
        <v>34917350</v>
      </c>
      <c r="I194" s="18"/>
      <c r="R194" s="69" t="s">
        <v>0</v>
      </c>
      <c r="T194" s="69" t="s">
        <v>0</v>
      </c>
      <c r="V194" s="69" t="s">
        <v>0</v>
      </c>
    </row>
    <row r="195" spans="2:22">
      <c r="B195" s="68" t="s">
        <v>148</v>
      </c>
      <c r="I195" s="18"/>
      <c r="J195" s="119">
        <f>P186-H194</f>
        <v>2993976.3333333284</v>
      </c>
      <c r="R195" s="69" t="s">
        <v>0</v>
      </c>
      <c r="T195" s="69" t="s">
        <v>0</v>
      </c>
      <c r="V195" s="69" t="s">
        <v>0</v>
      </c>
    </row>
    <row r="196" spans="2:22">
      <c r="I196" s="18"/>
    </row>
    <row r="197" spans="2:22">
      <c r="B197" s="68" t="s">
        <v>113</v>
      </c>
      <c r="H197" s="69">
        <v>12719181</v>
      </c>
      <c r="I197" s="21" t="s">
        <v>131</v>
      </c>
      <c r="J197" s="86">
        <v>1816653</v>
      </c>
      <c r="L197" s="68" t="s">
        <v>132</v>
      </c>
    </row>
    <row r="198" spans="2:22">
      <c r="B198" s="68"/>
      <c r="G198" s="1" t="s">
        <v>133</v>
      </c>
      <c r="H198" s="69">
        <f>H197+(J197/6)</f>
        <v>13021956.5</v>
      </c>
      <c r="I198" s="21"/>
      <c r="J198" s="86" t="s">
        <v>134</v>
      </c>
      <c r="L198" s="68"/>
    </row>
    <row r="199" spans="2:22">
      <c r="B199" s="13" t="s">
        <v>114</v>
      </c>
      <c r="F199" s="6" t="s">
        <v>0</v>
      </c>
      <c r="H199" s="73">
        <v>0.06</v>
      </c>
      <c r="I199" s="18"/>
      <c r="J199" s="133" t="s">
        <v>135</v>
      </c>
      <c r="K199" s="133"/>
      <c r="L199" s="133"/>
    </row>
    <row r="200" spans="2:22">
      <c r="B200" s="13" t="s">
        <v>115</v>
      </c>
      <c r="H200" s="74">
        <f>H199/52</f>
        <v>1.1538461538461537E-3</v>
      </c>
      <c r="I200" s="18"/>
      <c r="J200" s="133"/>
      <c r="K200" s="133"/>
      <c r="L200" s="133"/>
    </row>
    <row r="201" spans="2:22">
      <c r="B201" s="13" t="s">
        <v>180</v>
      </c>
      <c r="H201" s="120">
        <f>H197+((J197-R183)/6)</f>
        <v>9890406.5166666675</v>
      </c>
      <c r="I201" s="18"/>
    </row>
    <row r="202" spans="2:22">
      <c r="B202" s="13" t="s">
        <v>116</v>
      </c>
      <c r="H202" s="72">
        <f>(6*H200*(H201-T183))+63317</f>
        <v>41126.568961538469</v>
      </c>
      <c r="I202" s="18"/>
    </row>
    <row r="203" spans="2:22">
      <c r="I203" s="18"/>
    </row>
    <row r="204" spans="2:22">
      <c r="B204" s="132" t="s">
        <v>149</v>
      </c>
      <c r="C204" s="132"/>
      <c r="D204" s="132"/>
      <c r="E204" s="132"/>
      <c r="F204" s="132"/>
      <c r="G204" s="132"/>
      <c r="H204" s="132"/>
      <c r="I204" s="18"/>
      <c r="J204" s="119">
        <f>J195+H202</f>
        <v>3035102.9022948667</v>
      </c>
    </row>
    <row r="205" spans="2:22">
      <c r="I205" s="18"/>
    </row>
    <row r="206" spans="2:22">
      <c r="I206" s="18"/>
    </row>
    <row r="207" spans="2:22">
      <c r="I207" s="18"/>
    </row>
    <row r="208" spans="2:22">
      <c r="I208" s="18"/>
    </row>
    <row r="209" spans="9:9">
      <c r="I209" s="18"/>
    </row>
    <row r="210" spans="9:9">
      <c r="I210" s="18"/>
    </row>
    <row r="211" spans="9:9">
      <c r="I211" s="18"/>
    </row>
    <row r="212" spans="9:9">
      <c r="I212" s="18"/>
    </row>
    <row r="213" spans="9:9">
      <c r="I213" s="18"/>
    </row>
  </sheetData>
  <mergeCells count="7">
    <mergeCell ref="B204:H204"/>
    <mergeCell ref="J199:L200"/>
    <mergeCell ref="B9:E9"/>
    <mergeCell ref="D8:F8"/>
    <mergeCell ref="D5:F5"/>
    <mergeCell ref="D6:F6"/>
    <mergeCell ref="D7:F7"/>
  </mergeCells>
  <phoneticPr fontId="0" type="noConversion"/>
  <hyperlinks>
    <hyperlink ref="H189" r:id="rId1" display="=@SUM(H143:H145)"/>
    <hyperlink ref="J189" r:id="rId2" display="=@SUM(H143:H145)"/>
    <hyperlink ref="L189" r:id="rId3" display="=@SUM(H143:H145)"/>
    <hyperlink ref="N189" r:id="rId4" display="=@SUM(H143:H145)"/>
    <hyperlink ref="P184" r:id="rId5" display="=@sum(H156:N156"/>
  </hyperlinks>
  <pageMargins left="0.75" right="0.75" top="0.75" bottom="0.75" header="0.5" footer="0.5"/>
  <pageSetup paperSize="3" scale="74" fitToHeight="8" orientation="landscape" r:id="rId6"/>
  <headerFooter alignWithMargins="0"/>
  <rowBreaks count="3" manualBreakCount="3">
    <brk id="73" max="26" man="1"/>
    <brk id="135" max="26" man="1"/>
    <brk id="182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Summary</vt:lpstr>
      <vt:lpstr>Summary!Print_Area</vt:lpstr>
      <vt:lpstr>Summary!Print_Titles</vt:lpstr>
    </vt:vector>
  </TitlesOfParts>
  <Company>WT STEWART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T STEWART</dc:creator>
  <cp:lastModifiedBy>rlillard</cp:lastModifiedBy>
  <cp:lastPrinted>2010-09-16T21:21:46Z</cp:lastPrinted>
  <dcterms:created xsi:type="dcterms:W3CDTF">2001-08-10T12:53:48Z</dcterms:created>
  <dcterms:modified xsi:type="dcterms:W3CDTF">2010-09-16T21:23:40Z</dcterms:modified>
</cp:coreProperties>
</file>